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01"/>
  <workbookPr showInkAnnotation="0" codeName="ThisWorkbook" autoCompressPictures="0"/>
  <mc:AlternateContent xmlns:mc="http://schemas.openxmlformats.org/markup-compatibility/2006">
    <mc:Choice Requires="x15">
      <x15ac:absPath xmlns:x15ac="http://schemas.microsoft.com/office/spreadsheetml/2010/11/ac" url="C:\Users\Juozas\Documents\"/>
    </mc:Choice>
  </mc:AlternateContent>
  <xr:revisionPtr revIDLastSave="0" documentId="13_ncr:1_{BF8A3553-4601-484F-AD56-F7956FF11EFB}" xr6:coauthVersionLast="38" xr6:coauthVersionMax="38" xr10:uidLastSave="{00000000-0000-0000-0000-000000000000}"/>
  <bookViews>
    <workbookView xWindow="0" yWindow="0" windowWidth="28800" windowHeight="140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V12" i="5"/>
  <c r="V13" i="5"/>
  <c r="V15" i="5"/>
  <c r="V16" i="5"/>
  <c r="V17" i="5"/>
  <c r="V19" i="5"/>
  <c r="V20" i="5"/>
  <c r="V21" i="5"/>
  <c r="V22" i="5"/>
  <c r="V23" i="5"/>
  <c r="V25" i="5"/>
  <c r="V26" i="5"/>
  <c r="V27" i="5"/>
  <c r="V28" i="5"/>
  <c r="V29" i="5"/>
  <c r="V31" i="5"/>
  <c r="V33"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R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R15" i="5"/>
  <c r="X31" i="5"/>
  <c r="X33" i="5"/>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X23" i="5"/>
  <c r="F117" i="5"/>
  <c r="B23" i="6" l="1"/>
  <c r="B48" i="6" s="1"/>
  <c r="AB156" i="5"/>
  <c r="AB92" i="5"/>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V30" i="5"/>
  <c r="V24" i="5"/>
  <c r="X24" i="5" s="1"/>
  <c r="V18" i="5"/>
  <c r="R18" i="5" s="1"/>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G77" i="5"/>
  <c r="F535" i="5"/>
  <c r="E423" i="5"/>
  <c r="X423" i="5" s="1"/>
  <c r="J2098" i="5"/>
  <c r="G1207" i="5"/>
  <c r="R545" i="5"/>
  <c r="I413" i="5"/>
  <c r="G427" i="5"/>
  <c r="R23"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X29" i="5"/>
  <c r="R29" i="5"/>
  <c r="R21" i="5"/>
  <c r="X21" i="5"/>
  <c r="R13" i="5"/>
  <c r="X13" i="5"/>
  <c r="X5" i="5"/>
  <c r="R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H39" i="5"/>
  <c r="F301" i="5"/>
  <c r="G389"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X2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R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X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R25" i="5"/>
  <c r="X9" i="5"/>
  <c r="R9" i="5"/>
  <c r="G1473" i="5"/>
  <c r="F1105" i="5"/>
  <c r="H2433" i="5"/>
  <c r="I1637" i="5"/>
  <c r="I127" i="5"/>
  <c r="H1173" i="5"/>
  <c r="E1377" i="5"/>
  <c r="X1377" i="5" s="1"/>
  <c r="E183" i="5"/>
  <c r="X183" i="5" s="1"/>
  <c r="F657" i="5"/>
  <c r="F793" i="5"/>
  <c r="F399" i="5"/>
  <c r="H1573" i="5"/>
  <c r="R2257" i="5"/>
  <c r="J937" i="5"/>
  <c r="G1445" i="5"/>
  <c r="X2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X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X19"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X34" i="5"/>
  <c r="R32" i="5"/>
  <c r="X32" i="5"/>
  <c r="X30" i="5"/>
  <c r="R30" i="5"/>
  <c r="R24" i="5"/>
  <c r="R22" i="5"/>
  <c r="X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X26" i="5"/>
  <c r="R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2" i="5"/>
  <c r="S26" i="5"/>
  <c r="S31" i="5"/>
  <c r="S25" i="5"/>
  <c r="T32" i="5"/>
  <c r="T31" i="5"/>
  <c r="T25" i="5"/>
  <c r="T28" i="5"/>
  <c r="T26" i="5"/>
  <c r="T33" i="5"/>
  <c r="S30" i="5"/>
  <c r="S24" i="5"/>
  <c r="S29" i="5"/>
  <c r="S23" i="5"/>
  <c r="T24" i="5"/>
  <c r="T29" i="5"/>
  <c r="T30" i="5"/>
  <c r="T23" i="5"/>
  <c r="T27" i="5"/>
  <c r="S34" i="5"/>
  <c r="S28" i="5"/>
  <c r="S33" i="5"/>
  <c r="S27" i="5"/>
  <c r="T34" i="5"/>
  <c r="T22" i="5"/>
  <c r="T21" i="5"/>
  <c r="T9" i="5"/>
  <c r="T8" i="5"/>
  <c r="S20" i="5"/>
  <c r="S14" i="5"/>
  <c r="S8" i="5"/>
  <c r="S19" i="5"/>
  <c r="S13" i="5"/>
  <c r="S7" i="5"/>
  <c r="T14" i="5"/>
  <c r="T13" i="5"/>
  <c r="T20" i="5"/>
  <c r="T7" i="5"/>
  <c r="S18" i="5"/>
  <c r="S12" i="5"/>
  <c r="S6" i="5"/>
  <c r="S17" i="5"/>
  <c r="S11" i="5"/>
  <c r="S5" i="5"/>
  <c r="T12" i="5"/>
  <c r="T17" i="5"/>
  <c r="T11" i="5"/>
  <c r="T18" i="5"/>
  <c r="T6" i="5"/>
  <c r="T5" i="5"/>
  <c r="S22" i="5"/>
  <c r="S16" i="5"/>
  <c r="S10" i="5"/>
  <c r="S21" i="5"/>
  <c r="S15" i="5"/>
  <c r="S9" i="5"/>
  <c r="T16" i="5"/>
  <c r="T10" i="5"/>
  <c r="T15" i="5"/>
  <c r="T19" i="5"/>
  <c r="C5" i="6" l="1"/>
  <c r="C12" i="6"/>
  <c r="C13" i="6"/>
  <c r="C11" i="6"/>
  <c r="C10" i="6"/>
  <c r="C9" i="6"/>
  <c r="C8" i="6"/>
  <c r="C7" i="6"/>
  <c r="B43" i="6"/>
  <c r="B38" i="6"/>
  <c r="G38" i="6" s="1"/>
  <c r="B28" i="6"/>
  <c r="G28" i="6" s="1"/>
  <c r="B33" i="6"/>
  <c r="G33" i="6" s="1"/>
  <c r="B45" i="6"/>
  <c r="G45" i="6" s="1"/>
  <c r="G20" i="6"/>
  <c r="H20" i="6" s="1"/>
  <c r="B25" i="6"/>
  <c r="F25" i="6"/>
  <c r="B40" i="6"/>
  <c r="F26" i="6"/>
  <c r="F63" i="6" s="1"/>
  <c r="B30" i="6"/>
  <c r="G30" i="6" s="1"/>
  <c r="B41" i="6"/>
  <c r="G41" i="6" s="1"/>
  <c r="G21" i="6"/>
  <c r="H21" i="6" s="1"/>
  <c r="B26" i="6"/>
  <c r="G26" i="6" s="1"/>
  <c r="B36" i="6"/>
  <c r="B46" i="6"/>
  <c r="G46" i="6" s="1"/>
  <c r="G31" i="6"/>
  <c r="H22" i="6"/>
  <c r="D22" i="6" s="1"/>
  <c r="G47" i="6"/>
  <c r="G42" i="6"/>
  <c r="G40" i="6"/>
  <c r="K65" i="6"/>
  <c r="C65" i="6" s="1"/>
  <c r="G27" i="6"/>
  <c r="G32" i="6"/>
  <c r="G43" i="6"/>
  <c r="G35" i="6"/>
  <c r="G37" i="6"/>
  <c r="G25" i="6"/>
  <c r="H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H26" i="6" l="1"/>
  <c r="C26" i="6" s="1"/>
  <c r="F41" i="6"/>
  <c r="H41" i="6" s="1"/>
  <c r="F36" i="6"/>
  <c r="H36" i="6"/>
  <c r="C36" i="6" s="1"/>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26" i="6" l="1"/>
  <c r="D35" i="6"/>
  <c r="C35" i="6"/>
  <c r="D36" i="6"/>
  <c r="C41" i="6"/>
  <c r="D41" i="6"/>
  <c r="D32"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<sst xmlns="http://schemas.openxmlformats.org/spreadsheetml/2006/main" count="21962" uniqueCount="15486">
  <si>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</si>
  <si>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</si>
  <si>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</si>
  <si>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</si>
  <si>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</si>
  <si>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</si>
  <si>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</si>
  <si>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</si>
  <si>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</si>
  <si>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</si>
  <si>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</si>
  <si>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</si>
  <si>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</si>
  <si>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</si>
  <si>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</si>
  <si>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</si>
  <si>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</si>
  <si>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</si>
  <si>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</si>
  <si>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</si>
  <si>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</si>
  <si>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</si>
  <si>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</si>
  <si>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</si>
  <si>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</si>
  <si>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</si>
  <si>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</si>
  <si>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</si>
  <si>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</si>
  <si>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</si>
  <si>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</si>
  <si>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</si>
  <si>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</si>
  <si>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</si>
  <si>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</si>
  <si>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</si>
  <si>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</si>
  <si>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</si>
  <si>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</si>
  <si>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</si>
  <si>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</si>
  <si>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</si>
  <si>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</si>
  <si>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</si>
  <si>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</si>
  <si>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</si>
  <si>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</si>
  <si>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</si>
  <si>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</si>
  <si>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</si>
  <si>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</si>
  <si>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</si>
  <si>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</si>
  <si>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</si>
  <si>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</si>
  <si>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</si>
  <si>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</si>
  <si>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</si>
  <si>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</si>
  <si>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</si>
  <si>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</si>
  <si>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</si>
  <si>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</si>
  <si>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</si>
  <si>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</si>
  <si>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</si>
  <si>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</si>
  <si>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</si>
  <si>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</si>
  <si>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</si>
  <si>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</si>
  <si>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</si>
  <si>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</si>
  <si>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</si>
  <si>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</si>
  <si>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</si>
  <si>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</si>
  <si>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</si>
  <si>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</si>
  <si>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</si>
  <si>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</si>
  <si>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</si>
  <si>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</si>
  <si>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</si>
  <si>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</si>
  <si>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</si>
  <si>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</si>
  <si>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</si>
  <si>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</si>
  <si>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</si>
  <si>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</si>
  <si>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</si>
  <si>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</si>
  <si>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</si>
  <si>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</si>
  <si>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</si>
  <si>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</si>
  <si>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</si>
  <si>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</si>
  <si>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</si>
  <si>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</si>
  <si>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</si>
  <si>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</si>
  <si>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</si>
  <si>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</si>
  <si>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</si>
  <si>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</si>
  <si>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</si>
  <si>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</si>
  <si>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</si>
  <si>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</si>
  <si>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</si>
  <si>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</si>
  <si>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</si>
  <si>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</si>
  <si>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</si>
  <si>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</si>
  <si>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</si>
  <si>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</si>
  <si>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</si>
  <si>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</si>
  <si>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</si>
  <si>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</si>
  <si>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</si>
  <si>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</si>
  <si>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</si>
  <si>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</si>
  <si>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</si>
  <si>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</si>
  <si>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</si>
  <si>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</si>
  <si>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</si>
  <si>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</si>
  <si>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</si>
  <si>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</si>
  <si>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</si>
  <si>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</si>
  <si>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</si>
  <si>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</si>
  <si>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</si>
  <si>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</si>
  <si>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</si>
  <si>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</si>
  <si>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</si>
  <si>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</si>
  <si>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</si>
  <si>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</si>
  <si>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</si>
  <si>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</si>
  <si>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</si>
  <si>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</si>
  <si>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</si>
  <si>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</si>
  <si>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</si>
  <si>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</si>
  <si>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</si>
  <si>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</si>
  <si>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</si>
  <si>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</si>
  <si>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</si>
  <si>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</si>
  <si>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</si>
  <si>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</si>
  <si>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</si>
  <si>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</si>
  <si>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</si>
  <si>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</si>
  <si>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</si>
  <si>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</si>
  <si>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</si>
  <si>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</si>
  <si>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</si>
  <si>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</si>
  <si>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</si>
  <si>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</si>
  <si>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</si>
  <si>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</si>
  <si>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</si>
  <si>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</si>
  <si>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</si>
  <si>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</si>
  <si>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</si>
  <si>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</si>
  <si>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</si>
  <si>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</si>
  <si>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</si>
  <si>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</si>
  <si>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</si>
  <si>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</si>
  <si>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</si>
  <si>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</si>
  <si>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</si>
  <si>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</si>
  <si>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</si>
  <si>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</si>
  <si>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</si>
  <si>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</si>
  <si>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</si>
  <si>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</si>
  <si>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</si>
  <si>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</si>
  <si>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</si>
  <si>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</si>
  <si>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</si>
  <si>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</si>
  <si>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</si>
  <si>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</si>
  <si>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</si>
  <si>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</si>
  <si>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</si>
  <si>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</si>
  <si>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</si>
  <si>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</si>
  <si>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</si>
  <si>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</si>
  <si>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</si>
  <si>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</si>
  <si>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</si>
  <si>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</si>
  <si>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</si>
  <si>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</si>
  <si>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</si>
  <si>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</si>
  <si>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</si>
  <si>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</si>
  <si>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</si>
  <si>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</si>
  <si>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</si>
  <si>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</si>
  <si>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</si>
  <si>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</si>
  <si>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</si>
  <si>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</si>
  <si>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</si>
  <si>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</si>
  <si>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</si>
  <si>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</si>
  <si>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</si>
  <si>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</si>
  <si>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</si>
  <si>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</si>
  <si>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</si>
  <si>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</si>
  <si>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</si>
  <si>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</si>
  <si>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</si>
  <si>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</si>
  <si>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</si>
  <si>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</si>
  <si>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</si>
  <si>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</si>
  <si>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</si>
  <si>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</si>
  <si>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</si>
  <si>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</si>
  <si>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</si>
  <si>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</si>
  <si>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</si>
  <si>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</si>
  <si>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</si>
  <si>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</si>
  <si>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</si>
  <si>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</si>
  <si>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</si>
  <si>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</si>
  <si>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</si>
  <si>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</si>
  <si>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</si>
  <si>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</si>
  <si>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</si>
  <si>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</si>
  <si>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</si>
  <si>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</si>
  <si>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</si>
  <si>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</si>
  <si>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</si>
  <si>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</si>
  <si>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</si>
  <si>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</si>
  <si>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</si>
  <si>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</si>
  <si>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</si>
  <si>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</si>
  <si>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</si>
  <si>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</si>
  <si>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</si>
  <si>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</si>
  <si>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</si>
  <si>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</si>
  <si>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</si>
  <si>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</si>
  <si>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</si>
  <si>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</si>
  <si>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</si>
  <si>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</si>
  <si>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</si>
  <si>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</si>
  <si>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</si>
  <si>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</si>
  <si>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</si>
  <si>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</si>
  <si>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</si>
  <si>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</si>
  <si>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</si>
  <si>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</si>
  <si>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</si>
  <si>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</si>
  <si>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</si>
  <si>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</si>
  <si>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</si>
  <si>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</si>
  <si>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</si>
  <si>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</si>
  <si>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</si>
  <si>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</si>
  <si>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</si>
  <si>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</si>
  <si>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</si>
  <si>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</si>
  <si>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</si>
  <si>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</si>
  <si>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</si>
  <si>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</si>
  <si>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</si>
  <si>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</si>
  <si>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</si>
  <si>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</si>
  <si>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</si>
  <si>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</si>
  <si>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</si>
  <si>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</si>
  <si>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</si>
  <si>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</si>
  <si>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</si>
  <si>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</si>
  <si>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</si>
  <si>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</si>
  <si>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</si>
  <si>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</si>
  <si>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</si>
  <si>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</si>
  <si>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</si>
  <si>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</si>
  <si>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</si>
  <si>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</si>
  <si>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</si>
  <si>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</si>
  <si>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</si>
  <si>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</si>
  <si>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</si>
  <si>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</si>
  <si>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</si>
  <si>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</si>
  <si>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</si>
  <si>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</si>
  <si>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</si>
  <si>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</si>
  <si>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</si>
  <si>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</si>
  <si>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</si>
  <si>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</si>
  <si>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</si>
  <si>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</si>
  <si>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</si>
  <si>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</si>
  <si>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</si>
  <si>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</si>
  <si>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</si>
  <si>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</si>
  <si>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</si>
  <si>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</si>
  <si>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</si>
  <si>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</si>
  <si>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</si>
  <si>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</si>
  <si>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</si>
  <si>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</si>
  <si>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</si>
  <si>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</si>
  <si>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</si>
  <si>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</si>
  <si>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</si>
  <si>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</si>
  <si>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</si>
  <si>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</si>
  <si>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</si>
  <si>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</si>
  <si>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</si>
  <si>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</si>
  <si>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</si>
  <si>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</si>
  <si>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</si>
  <si>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</si>
  <si>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</si>
  <si>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</si>
  <si>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</si>
  <si>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</si>
  <si>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</si>
  <si>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</si>
  <si>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</si>
  <si>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</si>
  <si>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</si>
  <si>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</si>
  <si>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</si>
  <si>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</si>
  <si>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</si>
  <si>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</si>
  <si>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</si>
  <si>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</si>
  <si>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</si>
  <si>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</si>
  <si>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</si>
  <si>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</si>
  <si>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</si>
  <si>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</si>
  <si>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</si>
  <si>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</si>
  <si>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</si>
  <si>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</si>
  <si>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</si>
  <si>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</si>
  <si>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</si>
  <si>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</si>
  <si>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</si>
  <si>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</si>
  <si>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</si>
  <si>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</si>
  <si>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</si>
  <si>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</si>
  <si>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</si>
  <si>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</si>
  <si>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</si>
  <si>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</si>
  <si>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</si>
  <si>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</si>
  <si>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</si>
  <si>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</si>
  <si>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</si>
  <si>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</si>
  <si>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</si>
  <si>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</si>
  <si>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</si>
  <si>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</si>
  <si>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</si>
  <si>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</si>
  <si>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</si>
  <si>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</si>
  <si>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</si>
  <si>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</si>
  <si>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</si>
  <si>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</si>
  <si>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</si>
  <si>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</si>
  <si>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</si>
  <si>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</si>
  <si>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</si>
  <si>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</si>
  <si>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</si>
  <si>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</si>
  <si>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</si>
  <si>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</si>
  <si>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</si>
  <si>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</si>
  <si>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</si>
  <si>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</si>
  <si>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</si>
  <si>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</si>
  <si>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</si>
  <si>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</si>
  <si>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</si>
  <si>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</si>
  <si>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</si>
  <si>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</si>
  <si>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</si>
  <si>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</si>
  <si>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</si>
  <si>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</si>
  <si>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</si>
  <si>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</si>
  <si>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</si>
  <si>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</si>
  <si>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</si>
  <si>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</si>
  <si>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</si>
  <si>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</si>
  <si>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</si>
  <si>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</si>
  <si>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</si>
  <si>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</si>
  <si>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</si>
  <si>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</si>
  <si>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</si>
  <si>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</si>
  <si>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</si>
  <si>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</si>
  <si>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</si>
  <si>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</si>
  <si>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</si>
  <si>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</si>
  <si>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</si>
  <si>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</si>
  <si>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</si>
  <si>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</si>
  <si>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</si>
  <si>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</si>
  <si>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</si>
  <si>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</si>
  <si>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</si>
  <si>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</si>
  <si>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</si>
  <si>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</si>
  <si>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</si>
  <si>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</si>
  <si>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</si>
  <si>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</si>
  <si>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</si>
  <si>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</si>
  <si>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</si>
  <si>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</si>
  <si>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</si>
  <si>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</si>
  <si>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</si>
  <si>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</si>
  <si>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</si>
  <si>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</si>
  <si>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</si>
  <si>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</si>
  <si>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</si>
  <si>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</si>
  <si>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</si>
  <si>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</si>
  <si>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</si>
  <si>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</si>
  <si>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</si>
  <si>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</si>
  <si>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</si>
  <si>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</si>
  <si>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</si>
  <si>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</si>
  <si>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</si>
  <si>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</si>
  <si>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</si>
  <si>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</si>
  <si>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</si>
  <si>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</si>
  <si>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</si>
  <si>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</si>
  <si>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</si>
  <si>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</si>
  <si>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</si>
  <si>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</si>
  <si>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</si>
  <si>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</si>
  <si>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</si>
  <si>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</si>
  <si>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</si>
  <si>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</si>
  <si>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</si>
  <si>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</si>
  <si>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</si>
  <si>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</si>
  <si>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</si>
  <si>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</si>
  <si>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</si>
  <si>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</si>
  <si>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</si>
  <si>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</si>
  <si>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</si>
  <si>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</si>
  <si>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</si>
  <si>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</si>
  <si>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</si>
  <si>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</si>
  <si>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</si>
  <si>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</si>
  <si>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</si>
  <si>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</si>
  <si>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</si>
  <si>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</si>
  <si>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</si>
  <si>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</si>
  <si>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</si>
  <si>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</si>
  <si>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</si>
  <si>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</si>
  <si>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</si>
  <si>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</si>
  <si>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</si>
  <si>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</si>
  <si>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</si>
  <si>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</si>
  <si>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</si>
  <si>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</si>
  <si>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</si>
  <si>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</si>
  <si>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</si>
  <si>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</si>
  <si>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</si>
  <si>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</si>
  <si>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</si>
  <si>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</si>
  <si>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</si>
  <si>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</si>
  <si>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</si>
  <si>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</si>
  <si>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</si>
  <si>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</si>
  <si>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</si>
  <si>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</si>
  <si>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</si>
  <si>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</si>
  <si>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</si>
  <si>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</si>
  <si>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</si>
  <si>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</si>
  <si>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</si>
  <si>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</si>
  <si>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</si>
  <si>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</si>
  <si>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</si>
  <si>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</si>
  <si>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</si>
  <si>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</si>
  <si>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</si>
  <si>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</si>
  <si>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</si>
  <si>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</si>
  <si>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</si>
  <si>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</si>
  <si>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</si>
  <si>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</si>
  <si>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</si>
  <si>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</si>
  <si>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</si>
  <si>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</si>
  <si>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</si>
  <si>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</si>
  <si>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</si>
  <si>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</si>
  <si>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</si>
  <si>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</si>
  <si>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</si>
  <si>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</si>
  <si>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</si>
  <si>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</si>
  <si>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</si>
  <si>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</si>
  <si>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</si>
  <si>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</si>
  <si>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</si>
  <si>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</si>
  <si>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</si>
  <si>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</si>
  <si>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</si>
  <si>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</si>
  <si>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</si>
  <si>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</si>
  <si>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</si>
  <si>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</si>
  <si>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</si>
  <si>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</si>
  <si>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</si>
  <si>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</si>
  <si>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</si>
  <si>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</si>
  <si>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</si>
  <si>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</si>
  <si>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</si>
  <si>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</si>
  <si>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</si>
  <si>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</si>
  <si>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</si>
  <si>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</si>
  <si>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</si>
  <si>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</si>
  <si>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</si>
  <si>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</si>
  <si>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</si>
  <si>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</si>
  <si>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</si>
  <si>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</si>
  <si>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</si>
  <si>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</si>
  <si>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</si>
  <si>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</si>
  <si>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</si>
  <si>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</si>
  <si>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</si>
  <si>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</si>
  <si>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</si>
  <si>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</si>
  <si>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</si>
  <si>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</si>
  <si>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</si>
  <si>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</si>
  <si>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</si>
  <si>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</si>
  <si>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</si>
  <si>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</si>
  <si>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</si>
  <si>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</si>
  <si>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</si>
  <si>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</si>
  <si>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</si>
  <si>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</si>
  <si>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</si>
  <si>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</si>
  <si>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</si>
  <si>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</si>
  <si>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</si>
  <si>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</si>
  <si>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</si>
  <si>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</si>
  <si>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</si>
  <si>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</si>
  <si>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</si>
  <si>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</si>
  <si>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</si>
  <si>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</si>
  <si>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</si>
  <si>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</si>
  <si>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</si>
  <si>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</si>
  <si>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</si>
  <si>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</si>
  <si>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</si>
  <si>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</si>
  <si>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</si>
  <si>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</si>
  <si>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</si>
  <si>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</si>
  <si>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</si>
  <si>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</si>
  <si>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</si>
  <si>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</si>
  <si>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</si>
  <si>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</si>
  <si>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</si>
  <si>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</si>
  <si>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</si>
  <si>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</si>
  <si>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</si>
  <si>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</si>
  <si>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</si>
  <si>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</si>
  <si>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</si>
  <si>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</si>
  <si>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</si>
  <si>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</si>
  <si>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</si>
  <si>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</si>
  <si>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</si>
  <si>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</si>
  <si>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</si>
  <si>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</si>
  <si>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</si>
  <si>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</si>
  <si>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</si>
  <si>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</si>
  <si>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</si>
  <si>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</si>
  <si>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</si>
  <si>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</si>
  <si>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</si>
  <si>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</si>
  <si>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</si>
  <si>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</si>
  <si>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</si>
  <si>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</si>
  <si>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</si>
  <si>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</si>
  <si>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</si>
  <si>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</si>
  <si>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</si>
  <si>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</si>
  <si>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</si>
  <si>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</si>
  <si>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</si>
  <si>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</si>
  <si>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</si>
  <si>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</si>
  <si>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</si>
  <si>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</si>
  <si>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</si>
  <si>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</si>
  <si>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</si>
  <si>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</si>
  <si>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</si>
  <si>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</si>
  <si>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</si>
  <si>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</si>
  <si>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</si>
  <si>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</si>
  <si>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</si>
  <si>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</si>
  <si>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</si>
  <si>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</si>
  <si>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</si>
  <si>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</si>
  <si>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</si>
  <si>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</si>
  <si>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</si>
  <si>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</si>
  <si>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</si>
  <si>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</si>
  <si>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</si>
  <si>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</si>
  <si>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</si>
  <si>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</si>
  <si>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</si>
  <si>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</si>
  <si>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</si>
  <si>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</si>
  <si>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</si>
  <si>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</si>
  <si>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</si>
  <si>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</si>
  <si>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</si>
  <si>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</si>
  <si>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</si>
  <si>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</si>
  <si>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</si>
  <si>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</si>
  <si>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</si>
  <si>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</si>
  <si>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</si>
  <si>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</si>
  <si>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</si>
  <si>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</si>
  <si>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</si>
  <si>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</si>
  <si>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</si>
  <si>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</si>
  <si>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</si>
  <si>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</si>
  <si>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</si>
  <si>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</si>
  <si>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</si>
  <si>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</si>
  <si>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</si>
  <si>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</si>
  <si>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</si>
  <si>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</si>
  <si>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</si>
  <si>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</si>
  <si>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</si>
  <si>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</si>
  <si>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</si>
  <si>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</si>
  <si>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</si>
  <si>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</si>
  <si>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</si>
  <si>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</si>
  <si>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</si>
  <si>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</si>
  <si>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</si>
  <si>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</si>
  <si>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</si>
  <si>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</si>
  <si>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</si>
  <si>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</si>
  <si>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</si>
  <si>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</si>
  <si>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</si>
  <si>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</si>
  <si>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</si>
  <si>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</si>
  <si>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</si>
  <si>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</si>
  <si>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</si>
  <si>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</si>
  <si>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</si>
  <si>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</si>
  <si>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</si>
  <si>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</si>
  <si>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</si>
  <si>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</si>
  <si>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</si>
  <si>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</si>
  <si>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</si>
  <si>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</si>
  <si>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</si>
  <si>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</si>
  <si>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</si>
  <si>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</si>
  <si>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</si>
  <si>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</si>
  <si>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</si>
  <si>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</si>
  <si>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</si>
  <si>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</si>
  <si>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</si>
  <si>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</si>
  <si>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</si>
  <si>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</si>
  <si>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</si>
  <si>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</si>
  <si>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</si>
  <si>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</si>
  <si>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</si>
  <si>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</si>
  <si>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</si>
  <si>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</si>
  <si>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</si>
  <si>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</si>
  <si>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</si>
  <si>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</si>
  <si>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</si>
  <si>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</si>
  <si>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</si>
  <si>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</si>
  <si>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</si>
  <si>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</si>
  <si>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</si>
  <si>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</si>
  <si>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</si>
  <si>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</si>
  <si>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</si>
  <si>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</si>
  <si>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</si>
  <si>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</si>
  <si>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</si>
  <si>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</si>
  <si>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</si>
  <si>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</si>
  <si>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</si>
  <si>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</si>
  <si>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</si>
  <si>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</si>
  <si>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</si>
  <si>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</si>
  <si>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</si>
  <si>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</si>
  <si>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</si>
  <si>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</si>
  <si>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</si>
  <si>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</si>
  <si>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</si>
  <si>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</si>
  <si>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</si>
  <si>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</si>
  <si>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</si>
  <si>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</si>
  <si>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</si>
  <si>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</si>
  <si>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</si>
  <si>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</si>
  <si>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</si>
  <si>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</si>
  <si>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</si>
  <si>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</si>
  <si>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</si>
  <si>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</si>
  <si>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</si>
  <si>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</si>
  <si>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</si>
  <si>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</si>
  <si>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</si>
  <si>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</si>
  <si>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</si>
  <si>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</si>
  <si>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</si>
  <si>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</si>
  <si>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</si>
  <si>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</si>
  <si>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</si>
  <si>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</si>
  <si>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</si>
  <si>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</si>
  <si>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</si>
  <si>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</si>
  <si>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</si>
  <si>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</si>
  <si>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</si>
  <si>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</si>
  <si>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</si>
  <si>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</si>
  <si>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</si>
  <si>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</si>
  <si>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</si>
  <si>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</si>
  <si>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</si>
  <si>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</si>
  <si>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</si>
  <si>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</si>
  <si>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</si>
  <si>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</si>
  <si>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</si>
  <si>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</si>
  <si>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</si>
  <si>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</si>
  <si>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</si>
  <si>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</si>
  <si>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</si>
  <si>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</si>
  <si>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</si>
  <si>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</si>
  <si>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</si>
  <si>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</si>
  <si>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</si>
  <si>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</si>
  <si>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</si>
  <si>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</si>
  <si>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</si>
  <si>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</si>
  <si>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</si>
  <si>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</si>
  <si>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</si>
  <si>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</si>
  <si>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</si>
  <si>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</si>
  <si>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</si>
  <si>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</si>
  <si>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</si>
  <si>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</si>
  <si>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</si>
  <si>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</si>
  <si>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</si>
  <si>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</si>
  <si>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</si>
  <si>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</si>
  <si>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</si>
  <si>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</si>
  <si>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</si>
  <si>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</si>
  <si>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</si>
  <si>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</si>
  <si>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</si>
  <si>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</si>
  <si>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</si>
  <si>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</si>
  <si>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</si>
  <si>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</si>
  <si>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</si>
  <si>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</si>
  <si>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</si>
  <si>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</si>
  <si>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</si>
  <si>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</si>
  <si>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</si>
  <si>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</si>
  <si>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</si>
  <si>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</si>
  <si>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</si>
  <si>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</si>
  <si>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</si>
  <si>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</si>
  <si>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</si>
  <si>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</si>
  <si>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</si>
  <si>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</si>
  <si>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</si>
  <si>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</si>
  <si>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</si>
  <si>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</si>
  <si>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</si>
  <si>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</si>
  <si>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</si>
  <si>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</si>
  <si>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</si>
  <si>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</si>
  <si>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</si>
  <si>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</si>
  <si>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</si>
  <si>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</si>
  <si>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</si>
  <si>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</si>
  <si>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</si>
  <si>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</si>
  <si>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</si>
  <si>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</si>
  <si>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</si>
  <si>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</si>
  <si>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</si>
  <si>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</si>
  <si>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</si>
  <si>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</si>
  <si>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</si>
  <si>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</si>
  <si>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</si>
  <si>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</si>
  <si>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</si>
  <si>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</si>
  <si>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</si>
  <si>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</si>
  <si>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</si>
  <si>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</si>
  <si>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</si>
  <si>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</si>
  <si>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</si>
  <si>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</si>
  <si>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</si>
  <si>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</si>
  <si>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</si>
  <si>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</si>
  <si>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</si>
  <si>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</si>
  <si>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</si>
  <si>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</si>
  <si>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</si>
  <si>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</si>
  <si>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</si>
  <si>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</si>
  <si>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</si>
  <si>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</si>
  <si>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</si>
  <si>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</si>
  <si>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</si>
  <si>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</si>
  <si>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</si>
  <si>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</si>
  <si>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</si>
  <si>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</si>
  <si>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</si>
  <si>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</si>
  <si>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</si>
  <si>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</si>
  <si>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</si>
  <si>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</si>
  <si>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</si>
  <si>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</si>
  <si>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</si>
  <si>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</si>
  <si>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</si>
  <si>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</si>
  <si>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</si>
  <si>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</si>
  <si>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</si>
  <si>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</si>
  <si>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</si>
  <si>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</si>
  <si>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</si>
  <si>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</si>
  <si>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</si>
  <si>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</si>
  <si>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</si>
  <si>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</si>
  <si>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</si>
  <si>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</si>
  <si>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</si>
  <si>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</si>
  <si>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</si>
  <si>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</si>
  <si>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</si>
  <si>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</si>
  <si>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</si>
  <si>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</si>
  <si>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</si>
  <si>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</si>
  <si>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</si>
  <si>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</si>
  <si>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</si>
  <si>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</si>
  <si>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</si>
  <si>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</si>
  <si>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</si>
  <si>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</si>
  <si>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</si>
  <si>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</si>
  <si>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</si>
  <si>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</si>
  <si>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</si>
  <si>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</si>
  <si>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</si>
  <si>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</si>
  <si>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</si>
  <si>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</si>
  <si>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</si>
  <si>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</si>
  <si>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</si>
  <si>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</si>
  <si>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</si>
  <si>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</si>
  <si>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</si>
  <si>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</si>
  <si>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</si>
  <si>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</si>
  <si>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</si>
  <si>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</si>
  <si>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</si>
  <si>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</si>
  <si>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</si>
  <si>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</si>
  <si>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</si>
  <si>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</si>
  <si>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</si>
  <si>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</si>
  <si>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</si>
  <si>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</si>
  <si>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</si>
  <si>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</si>
  <si>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</si>
  <si>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</si>
  <si>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</si>
  <si>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</si>
  <si>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</si>
  <si>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</si>
  <si>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</si>
  <si>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</si>
  <si>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</si>
  <si>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</si>
  <si>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</si>
  <si>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</si>
  <si>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</si>
  <si>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</si>
  <si>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</si>
  <si>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</si>
  <si>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</si>
  <si>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</si>
  <si>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</si>
  <si>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</si>
  <si>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</si>
  <si>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</si>
  <si>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</si>
  <si>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</si>
  <si>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</si>
  <si>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</si>
  <si>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</si>
  <si>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</si>
  <si>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</si>
  <si>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</si>
  <si>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</si>
  <si>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</si>
  <si>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</si>
  <si>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</si>
  <si>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</si>
  <si>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</si>
  <si>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</si>
  <si>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</si>
  <si>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</si>
  <si>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</si>
  <si>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</si>
  <si>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</si>
  <si>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</si>
  <si>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</si>
  <si>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</si>
  <si>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</si>
  <si>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</si>
  <si>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</si>
  <si>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</si>
  <si>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</si>
  <si>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</si>
  <si>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</si>
  <si>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</si>
  <si>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</si>
  <si>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</si>
  <si>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</si>
  <si>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</si>
  <si>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</si>
  <si>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</si>
  <si>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</si>
  <si>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</si>
  <si>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</si>
  <si>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</si>
  <si>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</si>
  <si>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</si>
  <si>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</si>
  <si>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</si>
  <si>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</si>
  <si>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</si>
  <si>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</si>
  <si>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</si>
  <si>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</si>
  <si>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</si>
  <si>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</si>
  <si>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</si>
  <si>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</si>
  <si>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</si>
  <si>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</si>
  <si>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</si>
  <si>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</si>
  <si>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</si>
  <si>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</si>
  <si>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</si>
  <si>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</si>
  <si>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</si>
  <si>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</si>
  <si>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</si>
  <si>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</si>
  <si>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</si>
  <si>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</si>
  <si>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</si>
  <si>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</si>
  <si>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</si>
  <si>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</si>
  <si>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</si>
  <si>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</si>
  <si>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</si>
  <si>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</si>
  <si>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</si>
  <si>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</si>
  <si>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</si>
  <si>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</si>
  <si>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</si>
  <si>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</si>
  <si>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</si>
  <si>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</si>
  <si>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</si>
  <si>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</si>
  <si>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</si>
  <si>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</si>
  <si>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</si>
  <si>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</si>
  <si>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</si>
  <si>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</si>
  <si>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</si>
  <si>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</si>
  <si>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</si>
  <si>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</si>
  <si>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</si>
  <si>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</si>
  <si>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</si>
  <si>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</si>
  <si>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</si>
  <si>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</si>
  <si>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</si>
  <si>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</si>
  <si>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</si>
  <si>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</si>
  <si>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</si>
  <si>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</si>
  <si>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</si>
  <si>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</si>
  <si>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</si>
  <si>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</si>
  <si>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</si>
  <si>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</si>
  <si>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</si>
  <si>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</si>
  <si>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</si>
  <si>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</si>
  <si>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</si>
  <si>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</si>
  <si>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</si>
  <si>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</si>
  <si>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</si>
  <si>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</si>
  <si>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</si>
  <si>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</si>
  <si>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</si>
  <si>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</si>
  <si>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</si>
  <si>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</si>
  <si>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</si>
  <si>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</si>
  <si>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</si>
  <si>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</si>
  <si>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</si>
  <si>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</si>
  <si>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</si>
  <si>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</si>
  <si>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</si>
  <si>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</si>
  <si>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</si>
  <si>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</si>
  <si>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</si>
  <si>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</si>
  <si>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</si>
  <si>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</si>
  <si>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</si>
  <si>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</si>
  <si>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</si>
  <si>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</si>
  <si>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</si>
  <si>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</si>
  <si>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</si>
  <si>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</si>
  <si>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</si>
  <si>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</si>
  <si>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</si>
  <si>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</si>
  <si>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</si>
  <si>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</si>
  <si>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</si>
  <si>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</si>
  <si>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</si>
  <si>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</si>
  <si>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</si>
  <si>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</si>
  <si>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</si>
  <si>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</si>
  <si>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</si>
  <si>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</si>
  <si>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</si>
  <si>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</si>
  <si>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</si>
  <si>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</si>
  <si>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</si>
  <si>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</si>
  <si>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</si>
  <si>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</si>
  <si>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</si>
  <si>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</si>
  <si>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</si>
  <si>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</si>
  <si>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</si>
  <si>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</si>
  <si>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</si>
  <si>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</si>
  <si>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</si>
  <si>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</si>
  <si>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</si>
  <si>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</si>
  <si>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</si>
  <si>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</si>
  <si>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</si>
  <si>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</si>
  <si>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</si>
  <si>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</si>
  <si>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</si>
  <si>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</si>
  <si>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</si>
  <si>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</si>
  <si>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</si>
  <si>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</si>
  <si>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</si>
  <si>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</si>
  <si>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</si>
  <si>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</si>
  <si>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</si>
  <si>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</si>
  <si>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</si>
  <si>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</si>
  <si>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</si>
  <si>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</si>
  <si>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</si>
  <si>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</si>
  <si>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</si>
  <si>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</si>
  <si>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</si>
  <si>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</si>
  <si>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</si>
  <si>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</si>
  <si>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</si>
  <si>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</si>
  <si>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</si>
  <si>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</si>
  <si>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</si>
  <si>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</si>
  <si>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</si>
  <si>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</si>
  <si>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</si>
  <si>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</si>
  <si>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</si>
  <si>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</si>
  <si>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</si>
  <si>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</si>
  <si>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</si>
  <si>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</si>
  <si>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</si>
  <si>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</si>
  <si>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</si>
  <si>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</si>
  <si>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</si>
  <si>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</si>
  <si>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</si>
  <si>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</si>
  <si>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</si>
  <si>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</si>
  <si>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</si>
  <si>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</si>
  <si>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</si>
  <si>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</si>
  <si>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</si>
  <si>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</si>
  <si>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</si>
  <si>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</si>
  <si>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</si>
  <si>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</si>
  <si>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</si>
  <si>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</si>
  <si>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</si>
  <si>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</si>
  <si>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</si>
  <si>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</si>
  <si>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</si>
  <si>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</si>
  <si>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</si>
  <si>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</si>
  <si>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</si>
  <si>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</si>
  <si>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</si>
  <si>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</si>
  <si>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</si>
  <si>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</si>
  <si>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</si>
  <si>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</si>
  <si>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</si>
  <si>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</si>
  <si>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</si>
  <si>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</si>
  <si>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</si>
  <si>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</si>
  <si>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</si>
  <si>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</si>
  <si>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</si>
  <si>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</si>
  <si>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</si>
  <si>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</si>
  <si>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</si>
  <si>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</si>
  <si>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</si>
  <si>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</si>
  <si>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</si>
  <si>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</si>
  <si>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</si>
  <si>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</si>
  <si>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</si>
  <si>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</si>
  <si>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</si>
  <si>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</si>
  <si>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</si>
  <si>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</si>
  <si>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</si>
  <si>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</si>
  <si>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</si>
  <si>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</si>
  <si>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</si>
  <si>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</si>
  <si>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</si>
  <si>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</si>
  <si>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</si>
  <si>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</si>
  <si>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</si>
  <si>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</si>
  <si>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</si>
  <si>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</si>
  <si>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</si>
  <si>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</si>
  <si>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</si>
  <si>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</si>
  <si>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</si>
  <si>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</si>
  <si>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</si>
  <si>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</si>
  <si>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</si>
  <si>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</si>
  <si>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</si>
  <si>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</si>
  <si>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</si>
  <si>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</si>
  <si>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</si>
  <si>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</si>
  <si>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</si>
  <si>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</si>
  <si>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</si>
  <si>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</si>
  <si>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</si>
  <si>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</si>
  <si>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</si>
  <si>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</si>
  <si>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</si>
  <si>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</si>
  <si>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</si>
  <si>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</si>
  <si>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</si>
  <si>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</si>
  <si>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</si>
  <si>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</si>
  <si>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</si>
  <si>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</si>
  <si>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</si>
  <si>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</si>
  <si>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</si>
  <si>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</si>
  <si>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</si>
  <si>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</si>
  <si>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</si>
  <si>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</si>
  <si>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</si>
  <si>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</si>
  <si>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</si>
  <si>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</si>
  <si>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</si>
  <si>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</si>
  <si>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</si>
  <si>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</si>
  <si>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</si>
  <si>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</si>
  <si>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</si>
  <si>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</si>
  <si>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</si>
  <si>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</si>
  <si>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</si>
  <si>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</si>
  <si>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</si>
  <si>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</si>
  <si>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</si>
  <si>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</si>
  <si>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</si>
  <si>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</si>
  <si>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</si>
  <si>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</si>
  <si>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</si>
  <si>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</si>
  <si>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</si>
  <si>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</si>
  <si>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</si>
  <si>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</si>
  <si>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</si>
  <si>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</si>
  <si>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</si>
  <si>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</si>
  <si>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</si>
  <si>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</si>
  <si>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</si>
  <si>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</si>
  <si>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</si>
  <si>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</si>
  <si>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</si>
  <si>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</si>
  <si>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</si>
  <si>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</si>
  <si>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</si>
  <si>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</si>
  <si>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</si>
  <si>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</si>
  <si>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</si>
  <si>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</si>
  <si>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</si>
  <si>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</si>
  <si>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</si>
  <si>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</si>
  <si>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</si>
  <si>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</si>
  <si>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</si>
  <si>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</si>
  <si>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</si>
  <si>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</si>
  <si>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</si>
  <si>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</si>
  <si>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</si>
  <si>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</si>
  <si>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</si>
  <si>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</si>
  <si>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</si>
  <si>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</si>
  <si>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</si>
  <si>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</si>
  <si>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</si>
  <si>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</si>
  <si>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</si>
  <si>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</si>
  <si>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</si>
  <si>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</si>
  <si>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</si>
  <si>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</si>
  <si>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</si>
  <si>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</si>
  <si>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</si>
  <si>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</si>
  <si>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</si>
  <si>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</si>
  <si>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</si>
  <si>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</si>
  <si>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</si>
  <si>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</si>
  <si>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</si>
  <si>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</si>
  <si>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</si>
  <si>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</si>
  <si>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</si>
  <si>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</si>
  <si>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</si>
  <si>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</si>
  <si>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</si>
  <si>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</si>
  <si>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</si>
  <si>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</si>
  <si>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</si>
  <si>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</si>
  <si>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</si>
  <si>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</si>
  <si>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</si>
  <si>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</si>
  <si>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</si>
  <si>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</si>
  <si>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</si>
  <si>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</si>
  <si>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</si>
  <si>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</si>
  <si>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</si>
  <si>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</si>
  <si>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</si>
  <si>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</si>
  <si>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</si>
  <si>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</si>
  <si>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</si>
  <si>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</si>
  <si>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</si>
  <si>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</si>
  <si>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</si>
  <si>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</si>
  <si>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</si>
  <si>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</si>
  <si>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</si>
  <si>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</si>
  <si>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</si>
  <si>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</si>
  <si>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</si>
  <si>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</si>
  <si>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</si>
  <si>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</si>
  <si>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</si>
  <si>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</si>
  <si>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</si>
  <si>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</si>
  <si>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</si>
  <si>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</si>
  <si>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</si>
  <si>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</si>
  <si>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</si>
  <si>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</si>
  <si>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</si>
  <si>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</si>
  <si>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</si>
  <si>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</si>
  <si>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</si>
  <si>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</si>
  <si>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</si>
  <si>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</si>
  <si>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</si>
  <si>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</si>
  <si>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</si>
  <si>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</si>
  <si>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</si>
  <si>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</si>
  <si>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</si>
  <si>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</si>
  <si>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</si>
  <si>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</si>
  <si>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</si>
  <si>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</si>
  <si>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</si>
  <si>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</si>
  <si>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</si>
  <si>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</si>
  <si>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</si>
  <si>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</si>
  <si>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</si>
  <si>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</si>
  <si>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</si>
  <si>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</si>
  <si>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</si>
  <si>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</si>
  <si>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</si>
  <si>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</si>
  <si>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</si>
  <si>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</si>
  <si>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</si>
  <si>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</si>
  <si>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</si>
  <si>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</si>
  <si>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</si>
  <si>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</si>
  <si>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</si>
  <si>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</si>
  <si>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</si>
  <si>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</si>
  <si>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</si>
  <si>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</si>
  <si>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</si>
  <si>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</si>
  <si>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</si>
  <si>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</si>
  <si>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</si>
  <si>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</si>
  <si>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</si>
  <si>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</si>
  <si>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</si>
  <si>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</si>
  <si>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</si>
  <si>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</si>
  <si>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</si>
  <si>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</si>
  <si>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</si>
  <si>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</si>
  <si>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</si>
  <si>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</si>
  <si>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</si>
  <si>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</si>
  <si>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</si>
  <si>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</si>
  <si>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</si>
  <si>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</si>
  <si>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</si>
  <si>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</si>
  <si>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</si>
  <si>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</si>
  <si>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</si>
  <si>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</si>
  <si>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</si>
  <si>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</si>
  <si>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</si>
  <si>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</si>
  <si>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</si>
  <si>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</si>
  <si>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</si>
  <si>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</si>
  <si>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</si>
  <si>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</si>
  <si>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</si>
  <si>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</si>
  <si>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</si>
  <si>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</si>
  <si>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</si>
  <si>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</si>
  <si>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</si>
  <si>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</si>
  <si>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</si>
  <si>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</si>
  <si>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</si>
  <si>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</si>
  <si>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</si>
  <si>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</si>
  <si>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</si>
  <si>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</si>
  <si>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</si>
  <si>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</si>
  <si>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</si>
  <si>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</si>
  <si>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</si>
  <si>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</si>
  <si>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</si>
  <si>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</si>
  <si>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</si>
  <si>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</si>
  <si>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</si>
  <si>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</si>
  <si>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</si>
  <si>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</si>
  <si>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</si>
  <si>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</si>
  <si>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</si>
  <si>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</si>
  <si>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</si>
  <si>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</si>
  <si>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</si>
  <si>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</si>
  <si>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</si>
  <si>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</si>
  <si>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</si>
  <si>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</si>
  <si>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</si>
  <si>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</si>
  <si>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</si>
  <si>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</si>
  <si>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</si>
  <si>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</si>
  <si>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</si>
  <si>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</si>
  <si>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</si>
  <si>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</si>
  <si>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</si>
  <si>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</si>
  <si>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</si>
  <si>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</si>
  <si>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</si>
  <si>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</si>
  <si>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</si>
  <si>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</si>
  <si>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</si>
  <si>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</si>
  <si>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</si>
  <si>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</si>
  <si>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</si>
  <si>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</si>
  <si>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</si>
  <si>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</si>
  <si>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</si>
  <si>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</si>
  <si>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</si>
  <si>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</si>
  <si>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</si>
  <si>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</si>
  <si>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</si>
  <si>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</si>
  <si>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</si>
  <si>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</si>
  <si>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</si>
  <si>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</si>
  <si>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</si>
  <si>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</si>
  <si>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</si>
  <si>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</si>
  <si>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</si>
  <si>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</si>
  <si>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</si>
  <si>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</si>
  <si>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</si>
  <si>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</si>
  <si>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</si>
  <si>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</si>
  <si>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</si>
  <si>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</si>
  <si>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</si>
  <si>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</si>
  <si>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</si>
  <si>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</si>
  <si>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</si>
  <si>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</si>
  <si>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</si>
  <si>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</si>
  <si>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</si>
  <si>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</si>
  <si>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</si>
  <si>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</si>
  <si>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</si>
  <si>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</si>
  <si>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</si>
  <si>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</si>
  <si>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</si>
  <si>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</si>
  <si>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</si>
  <si>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</si>
  <si>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</si>
  <si>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</si>
  <si>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</si>
  <si>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</si>
  <si>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</si>
  <si>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</si>
  <si>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</si>
  <si>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</si>
  <si>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</si>
  <si>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</si>
  <si>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</si>
  <si>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</si>
  <si>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</si>
  <si>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</si>
  <si>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</si>
  <si>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</si>
  <si>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</si>
  <si>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</si>
  <si>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</si>
  <si>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</si>
  <si>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</si>
  <si>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</si>
  <si>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</si>
  <si>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</si>
  <si>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</si>
  <si>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</si>
  <si>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</si>
  <si>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</si>
  <si>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</si>
  <si>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</si>
  <si>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</si>
  <si>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</si>
  <si>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</si>
  <si>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</si>
  <si>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</si>
  <si>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</si>
  <si>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</si>
  <si>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</si>
  <si>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</si>
  <si>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</si>
  <si>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</si>
  <si>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</si>
  <si>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</si>
  <si>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</si>
  <si>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</si>
  <si>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</si>
  <si>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</si>
  <si>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</si>
  <si>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</si>
  <si>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</si>
  <si>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</si>
  <si>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</si>
  <si>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</si>
  <si>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</si>
  <si>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</si>
  <si>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</si>
  <si>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</si>
  <si>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</si>
  <si>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</si>
  <si>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</si>
  <si>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</si>
  <si>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</si>
  <si>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</si>
  <si>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</si>
  <si>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</si>
  <si>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</si>
  <si>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</si>
  <si>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</si>
  <si>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</si>
  <si>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</si>
  <si>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</si>
  <si>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</si>
  <si>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</si>
  <si>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</si>
  <si>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</si>
  <si>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</si>
  <si>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</si>
  <si>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</si>
  <si>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</si>
  <si>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</si>
  <si>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</si>
  <si>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</si>
  <si>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</si>
  <si>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</si>
  <si>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</si>
  <si>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</si>
  <si>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</si>
  <si>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</si>
  <si>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</si>
  <si>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</si>
  <si>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</si>
  <si>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</si>
  <si>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</si>
  <si>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</si>
  <si>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</si>
  <si>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</si>
  <si>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</si>
  <si>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</si>
  <si>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</si>
  <si>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</si>
  <si>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</si>
  <si>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</si>
  <si>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</si>
  <si>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</si>
  <si>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</si>
  <si>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</si>
  <si>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</si>
  <si>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</si>
  <si>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</si>
  <si>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</si>
  <si>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</si>
  <si>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</si>
  <si>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</si>
  <si>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</si>
  <si>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</si>
  <si>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</si>
  <si>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</si>
  <si>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</si>
  <si>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</si>
  <si>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</si>
  <si>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</si>
  <si>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</si>
  <si>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</si>
  <si>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</si>
  <si>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</si>
  <si>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</si>
  <si>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</si>
  <si>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</si>
  <si>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</si>
  <si>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</si>
  <si>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</si>
  <si>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</si>
  <si>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</si>
  <si>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</si>
  <si>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</si>
  <si>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</si>
  <si>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</si>
  <si>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</si>
  <si>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</si>
  <si>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</si>
  <si>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</si>
  <si>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</si>
  <si>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</si>
  <si>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</si>
  <si>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</si>
  <si>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</si>
  <si>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</si>
  <si>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</si>
  <si>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</si>
  <si>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</si>
  <si>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</si>
  <si>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</si>
  <si>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</si>
  <si>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</si>
  <si>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</si>
  <si>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</si>
  <si>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</si>
  <si>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</si>
  <si>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</si>
  <si>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</si>
  <si>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</si>
  <si>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</si>
  <si>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</si>
  <si>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</si>
  <si>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</si>
  <si>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</si>
  <si>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</si>
  <si>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</si>
  <si>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</si>
  <si>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</si>
  <si>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</si>
  <si>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</si>
  <si>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</si>
  <si>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</si>
  <si>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</si>
  <si>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</si>
  <si>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</si>
  <si>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</si>
  <si>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</si>
  <si>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</si>
  <si>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</si>
  <si>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</si>
  <si>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</si>
  <si>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</si>
  <si>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</si>
  <si>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</si>
  <si>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</si>
  <si>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</si>
  <si>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</si>
  <si>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</si>
  <si>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</si>
  <si>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</si>
  <si>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</si>
  <si>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</si>
  <si>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</si>
  <si>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</si>
  <si>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</si>
  <si>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</si>
  <si>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</si>
  <si>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</si>
  <si>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</si>
  <si>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</si>
  <si>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</si>
  <si>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</si>
  <si>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</si>
  <si>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</si>
  <si>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</si>
  <si>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</si>
  <si>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</si>
  <si>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</si>
  <si>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</si>
  <si>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</si>
  <si>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</si>
  <si>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</si>
  <si>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</si>
  <si>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</si>
  <si>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</si>
  <si>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</si>
  <si>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</si>
  <si>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</si>
  <si>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</si>
  <si>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</si>
  <si>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</si>
  <si>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</si>
  <si>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</si>
  <si>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</si>
  <si>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</si>
  <si>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</si>
  <si>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</si>
  <si>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</si>
  <si>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</si>
  <si>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</si>
  <si>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</si>
  <si>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</si>
  <si>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</si>
  <si>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</si>
  <si>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</si>
  <si>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</si>
  <si>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</si>
  <si>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</si>
  <si>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</si>
  <si>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</si>
  <si>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</si>
  <si>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</si>
  <si>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</si>
  <si>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</si>
  <si>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</si>
  <si>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</si>
  <si>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</si>
  <si>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</si>
  <si>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</si>
  <si>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</si>
  <si>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</si>
  <si>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</si>
  <si>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</si>
  <si>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</si>
  <si>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</si>
  <si>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</si>
  <si>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</si>
  <si>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</si>
  <si>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</si>
  <si>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</si>
  <si>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</si>
  <si>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</si>
  <si>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</si>
  <si>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</si>
  <si>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</si>
  <si>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</si>
  <si>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</si>
  <si>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</si>
  <si>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</si>
  <si>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</si>
  <si>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</si>
  <si>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</si>
  <si>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</si>
  <si>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</si>
  <si>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</si>
  <si>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</si>
  <si>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</si>
  <si>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</si>
  <si>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</si>
  <si>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</si>
  <si>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</si>
  <si>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</si>
  <si>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</si>
  <si>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</si>
  <si>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</si>
  <si>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</si>
  <si>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</si>
  <si>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</si>
  <si>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</si>
  <si>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</si>
  <si>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</si>
  <si>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</si>
  <si>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</si>
  <si>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</si>
  <si>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</si>
  <si>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</si>
  <si>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</si>
  <si>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</si>
  <si>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</si>
  <si>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</si>
  <si>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</si>
  <si>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</si>
  <si>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</si>
  <si>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</si>
  <si>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</si>
  <si>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</si>
  <si>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</si>
  <si>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</si>
  <si>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</si>
  <si>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</si>
  <si>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</si>
  <si>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</si>
  <si>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</si>
  <si>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</si>
  <si>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</si>
  <si>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</si>
  <si>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</si>
  <si>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</si>
  <si>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</si>
  <si>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</si>
  <si>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</si>
  <si>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</si>
  <si>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</si>
  <si>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</si>
  <si>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</si>
  <si>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</si>
  <si>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</si>
  <si>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</si>
  <si>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</si>
  <si>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</si>
  <si>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</si>
  <si>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</si>
  <si>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</si>
  <si>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</si>
  <si>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</si>
  <si>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</si>
  <si>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</si>
  <si>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</si>
  <si>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</si>
  <si>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</si>
  <si>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</si>
  <si>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</si>
  <si>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</si>
  <si>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</si>
  <si>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</si>
  <si>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</si>
  <si>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</si>
  <si>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</si>
  <si>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</si>
  <si>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</si>
  <si>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</si>
  <si>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</si>
  <si>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</si>
  <si>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</si>
  <si>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</si>
  <si>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</si>
  <si>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</si>
  <si>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</si>
  <si>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</si>
  <si>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</si>
  <si>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</si>
  <si>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</si>
  <si>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</si>
  <si>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</si>
  <si>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</si>
  <si>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</si>
  <si>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</si>
  <si>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</si>
  <si>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</si>
  <si>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</si>
  <si>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</si>
  <si>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</si>
  <si>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</si>
  <si>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</si>
  <si>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</si>
  <si>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</si>
  <si>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</si>
  <si>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</si>
  <si>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</si>
  <si>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</si>
  <si>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</si>
  <si>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</si>
  <si>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</si>
  <si>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</si>
  <si>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</si>
  <si>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</si>
  <si>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</si>
  <si>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</si>
  <si>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</si>
  <si>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</si>
  <si>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</si>
  <si>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</si>
  <si>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</si>
  <si>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</si>
  <si>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</si>
  <si>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</si>
  <si>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</si>
  <si>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</si>
  <si>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</si>
  <si>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</si>
  <si>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</si>
  <si>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</si>
  <si>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</si>
  <si>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</si>
  <si>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</si>
  <si>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</si>
  <si>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</si>
  <si>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</si>
  <si>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</si>
  <si>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</si>
  <si>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</si>
  <si>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</si>
  <si>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</si>
  <si>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</si>
  <si>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</si>
  <si>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</si>
  <si>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</si>
  <si>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</si>
  <si>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</si>
  <si>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</si>
  <si>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</si>
  <si>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</si>
  <si>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</si>
  <si>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</si>
  <si>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</si>
  <si>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</si>
  <si>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</si>
  <si>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</si>
  <si>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</si>
  <si>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</si>
  <si>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</si>
  <si>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</si>
  <si>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</si>
  <si>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</si>
  <si>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</si>
  <si>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</si>
  <si>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</si>
  <si>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</si>
  <si>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</si>
  <si>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</si>
  <si>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</si>
  <si>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</si>
  <si>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</si>
  <si>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</si>
  <si>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</si>
  <si>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</si>
  <si>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</si>
  <si>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</si>
  <si>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</si>
  <si>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</si>
  <si>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</si>
  <si>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</si>
  <si>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</si>
  <si>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</si>
  <si>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</si>
  <si>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</si>
  <si>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</si>
  <si>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</si>
  <si>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</si>
  <si>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</si>
  <si>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</si>
  <si>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</si>
  <si>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</si>
  <si>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</si>
  <si>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</si>
  <si>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</si>
  <si>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</si>
  <si>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</si>
  <si>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</si>
  <si>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</si>
  <si>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</si>
  <si>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</si>
  <si>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</si>
  <si>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</si>
  <si>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</si>
  <si>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</si>
  <si>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</si>
  <si>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</si>
  <si>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</si>
  <si>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</si>
  <si>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</si>
  <si>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</si>
  <si>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</si>
  <si>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</si>
  <si>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</si>
  <si>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</si>
  <si>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</si>
  <si>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</si>
  <si>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</si>
  <si>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</si>
  <si>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</si>
  <si>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</si>
  <si>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</si>
  <si>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</si>
  <si>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</si>
  <si>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</si>
  <si>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</si>
  <si>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</si>
  <si>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</si>
  <si>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</si>
  <si>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</si>
  <si>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</si>
  <si>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</si>
  <si>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</si>
  <si>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</si>
  <si>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</si>
  <si>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</si>
  <si>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</si>
  <si>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</si>
  <si>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</si>
  <si>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</si>
  <si>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</si>
  <si>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</si>
  <si>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</si>
  <si>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</si>
  <si>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</si>
  <si>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</si>
  <si>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</si>
  <si>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</si>
  <si>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</si>
  <si>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</si>
  <si>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</si>
  <si>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</si>
  <si>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</si>
  <si>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</si>
  <si>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</si>
  <si>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</si>
  <si>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</si>
  <si>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</si>
  <si>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</si>
  <si>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</si>
  <si>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</si>
  <si>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</si>
  <si>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</si>
  <si>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</si>
  <si>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</si>
  <si>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</si>
  <si>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</si>
  <si>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</si>
  <si>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</si>
  <si>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</si>
  <si>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</si>
  <si>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</si>
  <si>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</si>
  <si>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</si>
  <si>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</si>
  <si>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</si>
  <si>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</si>
  <si>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</si>
  <si>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</si>
  <si>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</si>
  <si>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</si>
  <si>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</si>
  <si>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</si>
  <si>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</si>
  <si>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</si>
  <si>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</si>
  <si>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</si>
  <si>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</si>
  <si>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</si>
  <si>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</si>
  <si>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</si>
  <si>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</si>
  <si>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</si>
  <si>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</si>
  <si>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</si>
  <si>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</si>
  <si>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</si>
  <si>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</si>
  <si>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</si>
  <si>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</si>
  <si>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</si>
  <si>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</si>
  <si>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</si>
  <si>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</si>
  <si>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</si>
  <si>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</si>
  <si>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</si>
  <si>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</si>
  <si>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</si>
  <si>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</si>
  <si>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</si>
  <si>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</si>
  <si>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</si>
  <si>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</si>
  <si>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</si>
  <si>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</si>
  <si>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</si>
  <si>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</si>
  <si>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</si>
  <si>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</si>
  <si>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</si>
  <si>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</si>
  <si>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</si>
  <si>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</si>
  <si>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</si>
  <si>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</si>
  <si>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</si>
  <si>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</si>
  <si>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</si>
  <si>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</si>
  <si>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</si>
  <si>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</si>
  <si>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</si>
  <si>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</si>
  <si>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</si>
  <si>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</si>
  <si>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</si>
  <si>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</si>
  <si>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</si>
  <si>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</si>
  <si>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</si>
  <si>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</si>
  <si>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</si>
  <si>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</si>
  <si>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</si>
  <si>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</si>
  <si>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</si>
  <si>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</si>
  <si>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</si>
  <si>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</si>
  <si>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</si>
  <si>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</si>
  <si>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</si>
  <si>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</si>
  <si>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</si>
  <si>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</si>
  <si>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</si>
  <si>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</si>
  <si>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</si>
  <si>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</si>
  <si>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</si>
  <si>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</si>
  <si>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</si>
  <si>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</si>
  <si>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</si>
  <si>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</si>
  <si>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</si>
  <si>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</si>
  <si>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</si>
  <si>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</si>
  <si>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</si>
  <si>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</si>
  <si>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</si>
  <si>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</si>
  <si>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</si>
  <si>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</si>
  <si>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</si>
  <si>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</si>
  <si>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</si>
  <si>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</si>
  <si>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</si>
  <si>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</si>
  <si>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</si>
  <si>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</si>
  <si>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</si>
  <si>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</si>
  <si>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</si>
  <si>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</si>
  <si>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</si>
  <si>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</si>
  <si>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</si>
  <si>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</si>
  <si>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</si>
  <si>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</si>
  <si>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</si>
  <si>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</si>
  <si>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</si>
  <si>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</si>
  <si>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</si>
  <si>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</si>
  <si>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</si>
  <si>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</si>
  <si>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</si>
  <si>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</si>
  <si>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</si>
  <si>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</si>
  <si>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</si>
  <si>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</si>
  <si>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</si>
  <si>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</si>
  <si>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</si>
  <si>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</si>
  <si>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</si>
  <si>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</si>
  <si>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</si>
  <si>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</si>
  <si>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</si>
  <si>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</si>
  <si>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</si>
  <si>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</si>
  <si>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</si>
  <si>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</si>
  <si>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</si>
  <si>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</si>
  <si>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</si>
  <si>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</si>
  <si>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</si>
  <si>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</si>
  <si>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</si>
  <si>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</si>
  <si>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</si>
  <si>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</si>
  <si>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</si>
  <si>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</si>
  <si>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</si>
  <si>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</si>
  <si>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</si>
  <si>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</si>
  <si>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</si>
  <si>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</si>
  <si>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</si>
  <si>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</si>
  <si>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</si>
  <si>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</si>
  <si>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</si>
  <si>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</si>
  <si>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</si>
  <si>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</si>
  <si>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</si>
  <si>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</si>
  <si>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</si>
  <si>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</si>
  <si>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</si>
  <si>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</si>
  <si>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</si>
  <si>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</si>
  <si>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</si>
  <si>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</si>
  <si>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</si>
  <si>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</si>
  <si>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</si>
  <si>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</si>
  <si>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</si>
  <si>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</si>
  <si>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</si>
  <si>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</si>
  <si>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</si>
  <si>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</si>
  <si>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</si>
  <si>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</si>
  <si>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</si>
  <si>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</si>
  <si>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</si>
  <si>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</si>
  <si>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</si>
  <si>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</si>
  <si>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</si>
  <si>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</si>
  <si>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</si>
  <si>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</si>
  <si>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</si>
  <si>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</si>
  <si>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</si>
  <si>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</si>
  <si>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</si>
  <si>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</si>
  <si>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</si>
  <si>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</si>
  <si>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</si>
  <si>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</si>
  <si>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</si>
  <si>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</si>
  <si>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</si>
  <si>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</si>
  <si>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</si>
  <si>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</si>
  <si>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</si>
  <si>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</si>
  <si>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</si>
  <si>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</si>
  <si>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</si>
  <si>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</si>
  <si>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</si>
  <si>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</si>
  <si>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</si>
  <si>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</si>
  <si>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</si>
  <si>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</si>
  <si>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</si>
  <si>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</si>
  <si>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</si>
  <si>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</si>
  <si>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</si>
  <si>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</si>
  <si>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</si>
  <si>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</si>
  <si>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</si>
  <si>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</si>
  <si>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</si>
  <si>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</si>
  <si>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</si>
  <si>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</si>
  <si>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</si>
  <si>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</si>
  <si>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</si>
  <si>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</si>
  <si>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</si>
  <si>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</si>
  <si>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</si>
  <si>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</si>
  <si>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</si>
  <si>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</si>
  <si>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</si>
  <si>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</si>
  <si>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</si>
  <si>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</si>
  <si>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</si>
  <si>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</si>
  <si>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</si>
  <si>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</si>
  <si>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</si>
  <si>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</si>
  <si>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</si>
  <si>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</si>
  <si>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</si>
  <si>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</si>
  <si>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</si>
  <si>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</si>
  <si>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</si>
  <si>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</si>
  <si>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</si>
  <si>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</si>
  <si>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</si>
  <si>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</si>
  <si>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</si>
  <si>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</si>
  <si>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</si>
  <si>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</si>
  <si>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</si>
  <si>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</si>
  <si>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</si>
  <si>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</si>
  <si>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</si>
  <si>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</si>
  <si>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</si>
  <si>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</si>
  <si>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</si>
  <si>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</si>
  <si>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</si>
  <si>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</si>
  <si>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</si>
  <si>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</si>
  <si>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</si>
  <si>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</si>
  <si>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</si>
  <si>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</si>
  <si>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</si>
  <si>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</si>
  <si>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</si>
  <si>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</si>
  <si>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</si>
  <si>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</si>
  <si>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</si>
  <si>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</si>
  <si>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</si>
  <si>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</si>
  <si>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</si>
  <si>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</si>
  <si>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</si>
  <si>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</si>
  <si>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</si>
  <si>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</si>
  <si>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</si>
  <si>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</si>
  <si>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</si>
  <si>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</si>
  <si>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</si>
  <si>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</si>
  <si>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</si>
  <si>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</si>
  <si>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</si>
  <si>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</si>
  <si>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</si>
  <si>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</si>
  <si>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</si>
  <si>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</si>
  <si>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</si>
  <si>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</si>
  <si>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</si>
  <si>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</si>
  <si>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</si>
  <si>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</si>
  <si>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</si>
  <si>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</si>
  <si>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</si>
  <si>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</si>
  <si>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</si>
  <si>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</si>
  <si>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</si>
  <si>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</si>
  <si>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</si>
  <si>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</si>
  <si>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</si>
  <si>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</si>
  <si>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</si>
  <si>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</si>
  <si>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</si>
  <si>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</si>
  <si>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</si>
  <si>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</si>
  <si>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</si>
  <si>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</si>
  <si>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</si>
  <si>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</si>
  <si>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</si>
  <si>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</si>
  <si>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</si>
  <si>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</si>
  <si>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</si>
  <si>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</si>
  <si>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</si>
  <si>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</si>
  <si>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</si>
  <si>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</si>
  <si>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</si>
  <si>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</si>
  <si>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</si>
  <si>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</si>
  <si>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</si>
  <si>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</si>
  <si>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</si>
  <si>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</si>
  <si>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</si>
  <si>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</si>
  <si>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</si>
  <si>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</si>
  <si>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</si>
  <si>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</si>
  <si>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</si>
  <si>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</si>
  <si>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</si>
  <si>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</si>
  <si>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</si>
  <si>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</si>
  <si>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</si>
  <si>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</si>
  <si>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</si>
  <si>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</si>
  <si>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</si>
  <si>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</si>
  <si>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</si>
  <si>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</si>
  <si>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</si>
  <si>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</si>
  <si>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</si>
  <si>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</si>
  <si>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</si>
  <si>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</si>
  <si>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</si>
  <si>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</si>
  <si>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</si>
  <si>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</si>
  <si>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</si>
  <si>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</si>
  <si>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</si>
  <si>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</si>
  <si>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</si>
  <si>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</si>
  <si>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</si>
  <si>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</si>
  <si>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</si>
  <si>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</si>
  <si>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</si>
  <si>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</si>
  <si>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</si>
  <si>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</si>
  <si>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</si>
  <si>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</si>
  <si>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</si>
  <si>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</si>
  <si>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</si>
  <si>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</si>
  <si>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</si>
  <si>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</si>
  <si>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</si>
  <si>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</si>
  <si>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</si>
  <si>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</si>
  <si>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</si>
  <si>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</si>
  <si>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</si>
  <si>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</si>
  <si>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</si>
  <si>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</si>
  <si>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</si>
  <si>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</si>
  <si>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</si>
  <si>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</si>
  <si>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</si>
  <si>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</si>
  <si>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</si>
  <si>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</si>
  <si>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</si>
  <si>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</si>
  <si>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</si>
  <si>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</si>
  <si>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</si>
  <si>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</si>
  <si>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</si>
  <si>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</si>
  <si>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</si>
  <si>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</si>
  <si>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</si>
  <si>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</si>
  <si>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</si>
  <si>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</si>
  <si>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</si>
  <si>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</si>
  <si>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</si>
  <si>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</si>
  <si>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</si>
  <si>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</si>
  <si>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</si>
  <si>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</si>
  <si>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</si>
  <si>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</si>
  <si>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</si>
  <si>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</si>
  <si>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</si>
  <si>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</si>
  <si>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</si>
  <si>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</si>
  <si>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</si>
  <si>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</si>
  <si>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</si>
  <si>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</si>
  <si>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</si>
  <si>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</si>
  <si>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</si>
  <si>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</si>
  <si>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</si>
  <si>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</si>
  <si>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</si>
  <si>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</si>
  <si>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</si>
  <si>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</si>
  <si>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</si>
  <si>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</si>
  <si>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</si>
  <si>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</si>
  <si>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</si>
  <si>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</si>
  <si>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</si>
  <si>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</si>
  <si>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</si>
  <si>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</si>
  <si>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</si>
  <si>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</si>
  <si>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</si>
  <si>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</si>
  <si>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</si>
  <si>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</si>
  <si>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</si>
  <si>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</si>
  <si>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</si>
  <si>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</si>
  <si>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</si>
  <si>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</si>
  <si>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</si>
  <si>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</si>
  <si>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</si>
  <si>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</si>
  <si>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</si>
  <si>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</si>
  <si>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</si>
  <si>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</si>
  <si>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</si>
  <si>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</si>
  <si>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</si>
  <si>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</si>
  <si>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</si>
  <si>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</si>
  <si>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</si>
  <si>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</si>
  <si>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</si>
  <si>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</si>
  <si>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</si>
  <si>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</si>
  <si>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</si>
  <si>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</si>
  <si>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</si>
  <si>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</si>
  <si>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</si>
  <si>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</si>
  <si>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</si>
  <si>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</si>
  <si>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</si>
  <si>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</si>
  <si>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</si>
  <si>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</si>
  <si>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</si>
  <si>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</si>
  <si>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</si>
  <si>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</si>
  <si>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</si>
  <si>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</si>
  <si>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</si>
  <si>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</si>
  <si>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</si>
  <si>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</si>
  <si>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</si>
  <si>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</si>
  <si>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</si>
  <si>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</si>
  <si>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</si>
  <si>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</si>
  <si>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</si>
  <si>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</si>
  <si>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</si>
  <si>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</si>
  <si>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</si>
  <si>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</si>
  <si>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</si>
  <si>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</si>
  <si>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</si>
  <si>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</si>
  <si>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</si>
  <si>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</si>
  <si>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</si>
  <si>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</si>
  <si>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</si>
  <si>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</si>
  <si>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</si>
  <si>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</si>
  <si>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</si>
  <si>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</si>
  <si>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</si>
  <si>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</si>
  <si>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</si>
  <si>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</si>
  <si>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</si>
  <si>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</si>
  <si>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</si>
  <si>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</si>
  <si>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</si>
  <si>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</si>
  <si>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</si>
  <si>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</si>
  <si>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</si>
  <si>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</si>
  <si>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</si>
  <si>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</si>
  <si>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</si>
  <si>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</si>
  <si>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</si>
  <si>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</si>
  <si>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</si>
  <si>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</si>
  <si>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</si>
  <si>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</si>
  <si>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</si>
  <si>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</si>
  <si>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</si>
  <si>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</si>
  <si>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</si>
  <si>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</si>
  <si>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</si>
  <si>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</si>
  <si>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</si>
  <si>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</si>
  <si>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</si>
  <si>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</si>
  <si>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</si>
  <si>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</si>
  <si>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</si>
  <si>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</si>
  <si>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</si>
  <si>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</si>
  <si>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</si>
  <si>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</si>
  <si>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</si>
  <si>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</si>
  <si>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</si>
  <si>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</si>
  <si>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</si>
  <si>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</si>
  <si>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</si>
  <si>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</si>
  <si>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</si>
  <si>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</si>
  <si>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</si>
  <si>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</si>
  <si>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</si>
  <si>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</si>
  <si>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</si>
  <si>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</si>
  <si>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</si>
  <si>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</si>
  <si>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</si>
  <si>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</si>
  <si>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</si>
  <si>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</si>
  <si>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</si>
  <si>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</si>
  <si>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</si>
  <si>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</si>
  <si>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</si>
  <si>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</si>
  <si>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</si>
  <si>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</si>
  <si>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</si>
  <si>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</si>
  <si>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</si>
  <si>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</si>
  <si>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</si>
  <si>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</si>
  <si>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</si>
  <si>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</si>
  <si>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</si>
  <si>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</si>
  <si>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</si>
  <si>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</si>
  <si>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</si>
  <si>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</si>
  <si>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</si>
  <si>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</si>
  <si>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</si>
  <si>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</si>
  <si>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</si>
  <si>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</si>
  <si>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</si>
  <si>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</si>
  <si>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</si>
  <si>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</si>
  <si>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</si>
  <si>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</si>
  <si>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</si>
  <si>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</si>
  <si>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</si>
  <si>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</si>
  <si>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</si>
  <si>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</si>
  <si>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</si>
  <si>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</si>
  <si>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</si>
  <si>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</si>
  <si>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</si>
  <si>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</si>
  <si>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</si>
  <si>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</si>
  <si>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</si>
  <si>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</si>
  <si>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</si>
  <si>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</si>
  <si>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</si>
  <si>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</si>
  <si>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</si>
  <si>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</si>
  <si>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</si>
  <si>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</si>
  <si>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</si>
  <si>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</si>
  <si>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</si>
  <si>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</si>
  <si>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</si>
  <si>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</si>
  <si>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</si>
  <si>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</si>
  <si>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</si>
  <si>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</si>
  <si>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</si>
  <si>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</si>
  <si>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</si>
  <si>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</si>
  <si>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</si>
  <si>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</si>
  <si>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</si>
  <si>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</si>
  <si>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</si>
  <si>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</si>
  <si>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</si>
  <si>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</si>
  <si>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</si>
  <si>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</si>
  <si>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</si>
  <si>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</si>
  <si>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</si>
  <si>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</si>
  <si>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</si>
  <si>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</si>
  <si>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</si>
  <si>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</si>
  <si>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</si>
  <si>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</si>
  <si>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</si>
  <si>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</si>
  <si>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</si>
  <si>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</si>
  <si>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</si>
  <si>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</si>
  <si>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</si>
  <si>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</si>
  <si>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</si>
  <si>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</si>
  <si>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</si>
  <si>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</si>
  <si>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</si>
  <si>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</si>
  <si>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</si>
  <si>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</si>
  <si>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</si>
  <si>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</si>
  <si>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</si>
  <si>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</si>
  <si>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</si>
  <si>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</si>
  <si>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</si>
  <si>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</si>
  <si>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</si>
  <si>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</si>
  <si>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</si>
  <si>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</si>
  <si>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</si>
  <si>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</si>
  <si>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</si>
  <si>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</si>
  <si>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</si>
  <si>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</si>
  <si>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</si>
  <si>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</si>
  <si>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</si>
  <si>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</si>
  <si>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</si>
  <si>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</si>
  <si>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</si>
  <si>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</si>
  <si>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</si>
  <si>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</si>
  <si>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</si>
  <si>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</si>
  <si>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</si>
  <si>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</si>
  <si>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</si>
  <si>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</si>
  <si>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</si>
  <si>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</si>
  <si>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</si>
  <si>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</si>
  <si>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</si>
  <si>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</si>
  <si>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</si>
  <si>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</si>
  <si>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</si>
  <si>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</si>
  <si>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</si>
  <si>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</si>
  <si>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</si>
  <si>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</si>
  <si>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</si>
  <si>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</si>
  <si>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</si>
  <si>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</si>
  <si>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</si>
  <si>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</si>
  <si>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</si>
  <si>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</si>
  <si>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</si>
  <si>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</si>
  <si>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</si>
  <si>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</si>
  <si>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</si>
  <si>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</si>
  <si>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</si>
  <si>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</si>
  <si>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</si>
  <si>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</si>
  <si>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</si>
  <si>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</si>
  <si>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</si>
  <si>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</si>
  <si>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</si>
  <si>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</si>
  <si>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</si>
  <si>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</si>
  <si>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</si>
  <si>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</si>
  <si>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</si>
  <si>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</si>
  <si>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</si>
  <si>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</si>
  <si>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</si>
  <si>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</si>
  <si>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</si>
  <si>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</si>
  <si>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</si>
  <si>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</si>
  <si>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</si>
  <si>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</si>
  <si>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</si>
  <si>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</si>
  <si>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</si>
  <si>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</si>
  <si>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</si>
  <si>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</si>
  <si>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</si>
  <si>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</si>
  <si>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</si>
  <si>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</si>
  <si>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</si>
  <si>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</si>
  <si>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</si>
  <si>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</si>
  <si>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</si>
  <si>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</si>
  <si>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</si>
  <si>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</si>
  <si>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</si>
  <si>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</si>
  <si>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</si>
  <si>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</si>
  <si>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</si>
  <si>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</si>
  <si>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</si>
  <si>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</si>
  <si>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</si>
  <si>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</si>
  <si>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</si>
  <si>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</si>
  <si>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</si>
  <si>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</si>
  <si>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</si>
  <si>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</si>
  <si>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</si>
  <si>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</si>
  <si>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</si>
  <si>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</si>
  <si>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</si>
  <si>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</si>
  <si>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</si>
  <si>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</si>
  <si>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</si>
  <si>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</si>
  <si>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</si>
  <si>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</si>
  <si>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</si>
  <si>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</si>
  <si>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</si>
  <si>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</si>
  <si>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</si>
  <si>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</si>
  <si>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</si>
  <si>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</si>
  <si>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</si>
  <si>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</si>
  <si>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</si>
  <si>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</si>
  <si>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</si>
  <si>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</si>
  <si>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</si>
  <si>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</si>
  <si>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</si>
  <si>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</si>
  <si>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</si>
  <si>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</si>
  <si>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</si>
  <si>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</si>
  <si>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</si>
  <si>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</si>
  <si>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</si>
  <si>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</si>
  <si>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</si>
  <si>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</si>
  <si>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</si>
  <si>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</si>
  <si>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</si>
  <si>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</si>
  <si>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</si>
  <si>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</si>
  <si>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</si>
  <si>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</si>
  <si>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</si>
  <si>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</si>
  <si>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</si>
  <si>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</si>
  <si>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</si>
  <si>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</si>
  <si>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</si>
  <si>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</si>
  <si>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</si>
  <si>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</si>
  <si>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</si>
  <si>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</si>
  <si>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</si>
  <si>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</si>
  <si>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</si>
  <si>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</si>
  <si>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</si>
  <si>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</si>
  <si>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</si>
  <si>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</si>
  <si>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</si>
  <si>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</si>
  <si>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</si>
  <si>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</si>
  <si>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</si>
  <si>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</si>
  <si>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</si>
  <si>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</si>
  <si>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</si>
  <si>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</si>
  <si>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</si>
  <si>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</si>
  <si>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</si>
  <si>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</si>
  <si>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</si>
  <si>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</si>
  <si>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</si>
  <si>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</si>
  <si>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</si>
  <si>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</si>
  <si>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</si>
  <si>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</si>
  <si>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</si>
  <si>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</si>
  <si>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</si>
  <si>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</si>
  <si>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</si>
  <si>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</si>
  <si>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</si>
  <si>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</si>
  <si>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</si>
  <si>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</si>
  <si>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</si>
  <si>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</si>
  <si>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</si>
  <si>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</si>
  <si>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</si>
  <si>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</si>
  <si>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</si>
  <si>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</si>
  <si>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</si>
  <si>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</si>
  <si>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</si>
  <si>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</si>
  <si>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</si>
  <si>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</si>
  <si>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</si>
  <si>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</si>
  <si>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</si>
  <si>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</si>
  <si>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</si>
  <si>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</si>
  <si>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</si>
  <si>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</si>
  <si>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</si>
  <si>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</si>
  <si>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</si>
  <si>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</si>
  <si>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</si>
  <si>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</si>
  <si>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</si>
  <si>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</si>
  <si>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</si>
  <si>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</si>
  <si>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</si>
  <si>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</si>
  <si>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</si>
  <si>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</si>
  <si>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</si>
  <si>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</si>
  <si>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</si>
  <si>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</si>
  <si>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</si>
  <si>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</si>
  <si>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</si>
  <si>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</si>
  <si>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</si>
  <si>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</si>
  <si>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</si>
  <si>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</si>
  <si>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</si>
  <si>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</si>
  <si>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</si>
  <si>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</si>
  <si>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</si>
  <si>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</si>
  <si>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</si>
  <si>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</si>
  <si>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</si>
  <si>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</si>
  <si>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</si>
  <si>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</si>
  <si>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</si>
  <si>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</si>
  <si>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</si>
  <si>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</si>
  <si>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</si>
  <si>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</si>
  <si>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</si>
  <si>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</si>
  <si>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</si>
  <si>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</si>
  <si>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</si>
  <si>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</si>
  <si>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</si>
  <si>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</si>
  <si>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</si>
  <si>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</si>
  <si>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</si>
  <si>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</si>
  <si>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</si>
  <si>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</si>
  <si>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</si>
  <si>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</si>
  <si>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</si>
  <si>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</si>
  <si>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</si>
  <si>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</si>
  <si>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</si>
  <si>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</si>
  <si>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</si>
  <si>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</si>
  <si>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</si>
  <si>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</si>
  <si>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</si>
  <si>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</si>
  <si>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</si>
  <si>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</si>
  <si>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</si>
  <si>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</si>
  <si>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</si>
  <si>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</si>
  <si>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</si>
  <si>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</si>
  <si>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</si>
  <si>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</si>
  <si>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</si>
  <si>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</si>
  <si>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</si>
  <si>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</si>
  <si>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</si>
  <si>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</si>
  <si>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</si>
  <si>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</si>
  <si>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</si>
  <si>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</si>
  <si>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</si>
  <si>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</si>
  <si>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</si>
  <si>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</si>
  <si>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</si>
  <si>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</si>
  <si>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</si>
  <si>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</si>
  <si>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</si>
  <si>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</si>
  <si>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</si>
  <si>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</si>
  <si>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</si>
  <si>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</si>
  <si>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</si>
  <si>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</si>
  <si>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</si>
  <si>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</si>
  <si>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</si>
  <si>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</si>
  <si>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</si>
  <si>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</si>
  <si>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</si>
  <si>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</si>
  <si>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</si>
  <si>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</si>
  <si>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</si>
  <si>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</si>
  <si>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</si>
  <si>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</si>
  <si>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</si>
  <si>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</si>
  <si>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</si>
  <si>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</si>
  <si>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</si>
  <si>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</si>
  <si>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</si>
  <si>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</si>
  <si>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</si>
  <si>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</si>
  <si>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</si>
  <si>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</si>
  <si>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</si>
  <si>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</si>
  <si>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</si>
  <si>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</si>
  <si>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</si>
  <si>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</si>
  <si>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</si>
  <si>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</si>
  <si>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</si>
  <si>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</si>
  <si>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</si>
  <si>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</si>
  <si>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</si>
  <si>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</si>
  <si>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</si>
  <si>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</si>
  <si>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</si>
  <si>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</si>
  <si>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</si>
  <si>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</si>
  <si>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</si>
  <si>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</si>
  <si>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</si>
  <si>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</si>
  <si>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</si>
  <si>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</si>
  <si>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</si>
  <si>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</si>
  <si>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</si>
  <si>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</si>
  <si>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</si>
  <si>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</si>
  <si>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</si>
  <si>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</si>
  <si>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</si>
  <si>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</si>
  <si>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</si>
  <si>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</si>
  <si>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</si>
  <si>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</si>
  <si>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</si>
  <si>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</si>
  <si>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</si>
  <si>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</si>
  <si>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</si>
  <si>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</si>
  <si>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</si>
  <si>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</si>
  <si>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</si>
  <si>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</si>
  <si>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</si>
  <si>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</si>
  <si>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</si>
  <si>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</si>
  <si>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</si>
  <si>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</si>
  <si>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</si>
  <si>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</si>
  <si>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</si>
  <si>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</si>
  <si>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</si>
  <si>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</si>
  <si>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</si>
  <si>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</si>
  <si>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</si>
  <si>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</si>
  <si>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</si>
  <si>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</si>
  <si>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</si>
  <si>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</si>
  <si>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</si>
  <si>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</si>
  <si>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</si>
  <si>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</si>
  <si>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</si>
  <si>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</si>
  <si>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</si>
  <si>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</si>
  <si>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</si>
  <si>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</si>
  <si>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</si>
  <si>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</si>
  <si>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</si>
  <si>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</si>
  <si>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</si>
  <si>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</si>
  <si>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</si>
  <si>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</si>
  <si>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</si>
  <si>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</si>
  <si>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</si>
  <si>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</si>
  <si>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</si>
  <si>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</si>
  <si>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</si>
  <si>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</si>
  <si>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</si>
  <si>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</si>
  <si>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</si>
  <si>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</si>
  <si>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</si>
  <si>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</si>
  <si>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</si>
  <si>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</si>
  <si>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</si>
  <si>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</si>
  <si>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</si>
  <si>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</si>
  <si>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</si>
  <si>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</si>
  <si>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</si>
  <si>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</si>
  <si>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</si>
  <si>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</si>
  <si>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</si>
  <si>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</si>
  <si>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</si>
  <si>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</si>
  <si>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</si>
  <si>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</si>
  <si>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</si>
  <si>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</si>
  <si>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</si>
  <si>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</si>
  <si>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</si>
  <si>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</si>
  <si>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</si>
  <si>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</si>
  <si>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</si>
  <si>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</si>
  <si>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</si>
  <si>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</si>
  <si>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</si>
  <si>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</si>
  <si>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</si>
  <si>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</si>
  <si>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</si>
  <si>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</si>
  <si>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</si>
  <si>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</si>
  <si>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</si>
  <si>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</si>
  <si>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</si>
  <si>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</si>
  <si>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</si>
  <si>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</si>
  <si>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</si>
  <si>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</si>
  <si>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</si>
  <si>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</si>
  <si>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</si>
  <si>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</si>
  <si>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</si>
  <si>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</si>
  <si>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</si>
  <si>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</si>
  <si>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</si>
  <si>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</si>
  <si>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</si>
  <si>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</si>
  <si>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</si>
  <si>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</si>
  <si>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</si>
  <si>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</si>
  <si>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</si>
  <si>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</si>
  <si>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</si>
  <si>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</si>
  <si>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</si>
  <si>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</si>
  <si>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</si>
  <si>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</si>
  <si>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</si>
  <si>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</si>
  <si>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</si>
  <si>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</si>
  <si>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</si>
  <si>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</si>
  <si>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</si>
  <si>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</si>
  <si>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</si>
  <si>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</si>
  <si>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</si>
  <si>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</si>
  <si>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</si>
  <si>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</si>
  <si>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</si>
  <si>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</si>
  <si>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</si>
  <si>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</si>
  <si>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</si>
  <si>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</si>
  <si>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</si>
  <si>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</si>
  <si>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</si>
  <si>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</si>
  <si>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</si>
  <si>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</si>
  <si>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</si>
  <si>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</si>
  <si>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</si>
  <si>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</si>
  <si>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</si>
  <si>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</si>
  <si>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</si>
  <si>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</si>
  <si>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</si>
  <si>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</si>
  <si>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</si>
  <si>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</si>
  <si>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</si>
  <si>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</si>
  <si>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</si>
  <si>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</si>
  <si>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</si>
  <si>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</si>
  <si>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</si>
  <si>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</si>
  <si>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</si>
  <si>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</si>
  <si>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</si>
  <si>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</si>
  <si>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</si>
  <si>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</si>
  <si>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</si>
  <si>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</si>
  <si>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</si>
  <si>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</si>
  <si>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</si>
  <si>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</si>
  <si>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</si>
  <si>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</si>
  <si>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</si>
  <si>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</si>
  <si>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</si>
  <si>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</si>
  <si>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</si>
  <si>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</si>
  <si>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</si>
  <si>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</si>
  <si>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</si>
  <si>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</si>
  <si>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</si>
  <si>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</si>
  <si>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</si>
  <si>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</si>
  <si>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</si>
  <si>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</si>
  <si>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</si>
  <si>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</si>
  <si>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</si>
  <si>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</si>
  <si>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</si>
  <si>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</si>
  <si>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</si>
  <si>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</si>
  <si>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</si>
  <si>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</si>
  <si>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</si>
  <si>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</si>
  <si>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</si>
  <si>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</si>
  <si>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</si>
  <si>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</si>
  <si>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</si>
  <si>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</si>
  <si>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</si>
  <si>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</si>
  <si>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</si>
  <si>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</si>
  <si>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</si>
  <si>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</si>
  <si>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</si>
  <si>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</si>
  <si>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</si>
  <si>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</si>
  <si>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</si>
  <si>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</si>
  <si>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</si>
  <si>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</si>
  <si>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</si>
  <si>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</si>
  <si>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</si>
  <si>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</si>
  <si>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</si>
  <si>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</si>
  <si>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</si>
  <si>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</si>
  <si>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</si>
  <si>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</si>
  <si>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</si>
  <si>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</si>
  <si>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</si>
  <si>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</si>
  <si>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</si>
  <si>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</si>
  <si>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</si>
  <si>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</si>
  <si>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</si>
  <si>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</si>
  <si>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</si>
  <si>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</si>
  <si>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</si>
  <si>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</si>
  <si>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</si>
  <si>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</si>
  <si>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</si>
  <si>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</si>
  <si>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</si>
  <si>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</si>
  <si>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</si>
  <si>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</si>
  <si>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</si>
  <si>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</si>
  <si>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</si>
  <si>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</si>
  <si>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</si>
  <si>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</si>
  <si>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</si>
  <si>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</si>
  <si>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</si>
  <si>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</si>
  <si>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</si>
  <si>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</si>
  <si>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</si>
  <si>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</si>
  <si>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</si>
  <si>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</si>
  <si>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</si>
  <si>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</si>
  <si>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</si>
  <si>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</si>
  <si>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</si>
  <si>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</si>
  <si>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</si>
  <si>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</si>
  <si>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</si>
  <si>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</si>
  <si>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</si>
  <si>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</si>
  <si>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</si>
  <si>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</si>
  <si>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</si>
  <si>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</si>
  <si>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</si>
  <si>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</si>
  <si>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</si>
  <si>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</si>
  <si>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</si>
  <si>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</si>
  <si>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</si>
  <si>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</si>
  <si>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</si>
  <si>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</si>
  <si>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</si>
  <si>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</si>
  <si>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</si>
  <si>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</si>
  <si>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</si>
  <si>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</si>
  <si>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</si>
  <si>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</si>
  <si>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</si>
  <si>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</si>
  <si>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</si>
  <si>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</si>
  <si>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</si>
  <si>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</si>
  <si>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</si>
  <si>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</si>
  <si>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</si>
  <si>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</si>
  <si>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</si>
  <si>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</si>
  <si>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</si>
  <si>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</si>
  <si>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</si>
  <si>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</si>
  <si>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</si>
  <si>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</si>
  <si>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</si>
  <si>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</si>
  <si>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</si>
  <si>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</si>
  <si>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</si>
  <si>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</si>
  <si>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</si>
  <si>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</si>
  <si>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</si>
  <si>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</si>
  <si>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</si>
  <si>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</si>
  <si>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</si>
  <si>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</si>
  <si>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</si>
  <si>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</si>
  <si>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</si>
  <si>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</si>
  <si>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</si>
  <si>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</si>
  <si>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</si>
  <si>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</si>
  <si>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</si>
  <si>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</si>
  <si>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</si>
  <si>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</si>
  <si>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</si>
  <si>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</si>
  <si>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</si>
  <si>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</si>
  <si>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</si>
  <si>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</si>
  <si>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</si>
  <si>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</si>
  <si>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</si>
  <si>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</si>
  <si>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</si>
  <si>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</si>
  <si>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</si>
  <si>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</si>
  <si>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</si>
  <si>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</si>
  <si>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</si>
  <si>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</si>
  <si>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</si>
  <si>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</si>
  <si>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</si>
  <si>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</si>
  <si>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</si>
  <si>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</si>
  <si>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</si>
  <si>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</si>
  <si>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</si>
  <si>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</si>
  <si>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</si>
  <si>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</si>
  <si>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</si>
  <si>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</si>
  <si>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</si>
  <si>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</si>
  <si>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</si>
  <si>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</si>
  <si>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</si>
  <si>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</si>
  <si>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</si>
  <si>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</si>
  <si>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</si>
  <si>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</si>
  <si>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</si>
  <si>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</si>
  <si>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</si>
  <si>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</si>
  <si>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</si>
  <si>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</si>
  <si>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</si>
  <si>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</si>
  <si>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</si>
  <si>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</si>
  <si>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</si>
  <si>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</si>
  <si>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</si>
  <si>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</si>
  <si>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</si>
  <si>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</si>
  <si>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</si>
  <si>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</si>
  <si>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</si>
  <si>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</si>
  <si>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</si>
  <si>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</si>
  <si>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</si>
  <si>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</si>
  <si>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</si>
  <si>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</si>
  <si>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</si>
  <si>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</si>
  <si>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</si>
  <si>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</si>
  <si>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</si>
  <si>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</si>
  <si>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</si>
  <si>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</si>
  <si>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</si>
  <si>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</si>
  <si>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</si>
  <si>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</si>
  <si>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</si>
  <si>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</si>
  <si>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</si>
  <si>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</si>
  <si>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</si>
  <si>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</si>
  <si>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</si>
  <si>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</si>
  <si>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</si>
  <si>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</si>
  <si>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</si>
  <si>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</si>
  <si>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</si>
  <si>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</si>
  <si>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</si>
  <si>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</si>
  <si>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</si>
  <si>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</si>
  <si>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</si>
  <si>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</si>
  <si>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</si>
  <si>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</si>
  <si>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</si>
  <si>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</si>
  <si>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</si>
  <si>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</si>
  <si>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</si>
  <si>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</si>
  <si>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</si>
  <si>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</si>
  <si>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</si>
  <si>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</si>
  <si>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</si>
  <si>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</si>
  <si>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</si>
  <si>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</si>
  <si>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</si>
  <si>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</si>
  <si>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</si>
  <si>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</si>
  <si>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</si>
  <si>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</si>
  <si>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</si>
  <si>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</si>
  <si>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</si>
  <si>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</si>
  <si>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</si>
  <si>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</si>
  <si>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</si>
  <si>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</si>
  <si>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</si>
  <si>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</si>
  <si>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</si>
  <si>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</si>
  <si>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</si>
  <si>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</si>
  <si>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</si>
  <si>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</si>
  <si>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</si>
  <si>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</si>
  <si>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</si>
  <si>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</si>
  <si>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</si>
  <si>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</si>
  <si>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</si>
  <si>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</si>
  <si>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</si>
  <si>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</si>
  <si>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</si>
  <si>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</si>
  <si>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</si>
  <si>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</si>
  <si>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</si>
  <si>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</si>
  <si>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</si>
  <si>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</si>
  <si>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</si>
  <si>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</si>
  <si>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</si>
  <si>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</si>
  <si>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</si>
  <si>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</si>
  <si>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</si>
  <si>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</si>
  <si>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</si>
  <si>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</si>
  <si>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</si>
  <si>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</si>
  <si>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</si>
  <si>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</si>
  <si>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</si>
  <si>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</si>
  <si>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</si>
  <si>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</si>
  <si>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</si>
  <si>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</si>
  <si>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</si>
  <si>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</si>
  <si>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</si>
  <si>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</si>
  <si>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</si>
  <si>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</si>
  <si>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</si>
  <si>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</si>
  <si>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</si>
  <si>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</si>
  <si>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</si>
  <si>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</si>
  <si>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</si>
  <si>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</si>
  <si>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</si>
  <si>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</si>
  <si>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</si>
  <si>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</si>
  <si>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</si>
  <si>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</si>
  <si>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</si>
  <si>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</si>
  <si>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</si>
  <si>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</si>
  <si>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</si>
  <si>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</si>
  <si>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</si>
  <si>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</si>
  <si>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</si>
  <si>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</si>
  <si>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</si>
  <si>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</si>
  <si>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</si>
  <si>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</si>
  <si>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</si>
  <si>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</si>
  <si>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</si>
  <si>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</si>
  <si>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</si>
  <si>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</si>
  <si>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</si>
  <si>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</si>
  <si>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</si>
  <si>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</si>
  <si>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</si>
  <si>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</si>
  <si>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</si>
  <si>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</si>
  <si>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</si>
  <si>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</si>
  <si>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</si>
  <si>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</si>
  <si>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</si>
  <si>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</si>
  <si>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</si>
  <si>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</si>
  <si>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</si>
  <si>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</si>
  <si>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</si>
  <si>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</si>
  <si>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</si>
  <si>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</si>
  <si>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</si>
  <si>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</si>
  <si>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</si>
  <si>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</si>
  <si>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</si>
  <si>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</si>
  <si>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</si>
  <si>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</si>
  <si>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</si>
  <si>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</si>
  <si>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</si>
  <si>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</si>
  <si>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</si>
  <si>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</si>
  <si>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</si>
  <si>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</si>
  <si>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</si>
  <si>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</si>
  <si>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</si>
  <si>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</si>
  <si>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</si>
  <si>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</si>
  <si>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</si>
  <si>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</si>
  <si>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</si>
  <si>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</si>
  <si>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</si>
  <si>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</si>
  <si>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</si>
  <si>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</si>
  <si>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</si>
  <si>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</si>
  <si>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</si>
  <si>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</si>
  <si>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</si>
  <si>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</si>
  <si>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</si>
  <si>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</si>
  <si>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</si>
  <si>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</si>
  <si>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</si>
  <si>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</si>
  <si>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</si>
  <si>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</si>
  <si>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</si>
  <si>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</si>
  <si>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</si>
  <si>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</si>
  <si>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</si>
  <si>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</si>
  <si>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</si>
  <si>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</si>
  <si>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</si>
  <si>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</si>
  <si>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</si>
  <si>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</si>
  <si>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</si>
  <si>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</si>
  <si>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</si>
  <si>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</si>
  <si>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</si>
  <si>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</si>
  <si>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</si>
  <si>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</si>
  <si>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</si>
  <si>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</si>
  <si>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</si>
  <si>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</si>
  <si>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</si>
  <si>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</si>
  <si>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</si>
  <si>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</si>
  <si>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</si>
  <si>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</si>
  <si>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</si>
  <si>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</si>
  <si>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</si>
  <si>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</si>
  <si>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</si>
  <si>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</si>
  <si>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</si>
  <si>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</si>
  <si>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</si>
  <si>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</si>
  <si>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</si>
  <si>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</si>
  <si>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</si>
  <si>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</si>
  <si>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</si>
  <si>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</si>
  <si>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</si>
  <si>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</si>
  <si>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</si>
  <si>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</si>
  <si>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</si>
  <si>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</si>
  <si>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</si>
  <si>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</si>
  <si>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</si>
  <si>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</si>
  <si>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</si>
  <si>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</si>
  <si>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</si>
  <si>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</si>
  <si>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</si>
  <si>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</si>
  <si>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</si>
  <si>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</si>
  <si>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</si>
  <si>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</si>
  <si>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</si>
  <si>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</si>
  <si>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</si>
  <si>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</si>
  <si>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</si>
  <si>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</si>
  <si>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</si>
  <si>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</si>
  <si>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</si>
  <si>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</si>
  <si>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</si>
  <si>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</si>
  <si>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</si>
  <si>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</si>
  <si>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</si>
  <si>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</si>
  <si>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</si>
  <si>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</si>
  <si>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</si>
  <si>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</si>
  <si>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</si>
  <si>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</si>
  <si>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</si>
  <si>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</si>
  <si>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</si>
  <si>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</si>
  <si>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</si>
  <si>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</si>
  <si>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</si>
  <si>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</si>
  <si>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</si>
  <si>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</si>
  <si>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</si>
  <si>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</si>
  <si>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</si>
  <si>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</si>
  <si>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</si>
  <si>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</si>
  <si>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</si>
  <si>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</si>
  <si>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</si>
  <si>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</si>
  <si>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</si>
  <si>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</si>
  <si>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</si>
  <si>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</si>
  <si>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</si>
  <si>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</si>
  <si>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</si>
  <si>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</si>
  <si>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</si>
  <si>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</si>
  <si>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</si>
  <si>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</si>
  <si>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</si>
  <si>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</si>
  <si>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</si>
  <si>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</si>
  <si>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</si>
  <si>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</si>
  <si>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</si>
  <si>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</si>
  <si>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</si>
  <si>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</si>
  <si>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</si>
  <si>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</si>
  <si>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</si>
  <si>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</si>
  <si>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</si>
  <si>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</si>
  <si>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</si>
  <si>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</si>
  <si>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</si>
  <si>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</si>
  <si>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</si>
  <si>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</si>
  <si>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</si>
  <si>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</si>
  <si>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</si>
  <si>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</si>
  <si>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</si>
  <si>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</si>
  <si>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</si>
  <si>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</si>
  <si>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</si>
  <si>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</si>
  <si>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</si>
  <si>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</si>
  <si>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</si>
  <si>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</si>
  <si>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</si>
  <si>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</si>
  <si>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</si>
  <si>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</si>
  <si>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</si>
  <si>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</si>
  <si>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</si>
  <si>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</si>
  <si>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</si>
  <si>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</si>
  <si>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</si>
  <si>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</si>
  <si>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</si>
  <si>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</si>
  <si>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</si>
  <si>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</si>
  <si>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</si>
  <si>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</si>
  <si>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</si>
  <si>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</si>
  <si>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</si>
  <si>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</si>
  <si>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</si>
  <si>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</si>
  <si>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</si>
  <si>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</si>
  <si>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</si>
  <si>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</si>
  <si>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</si>
  <si>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</si>
  <si>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</si>
  <si>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</si>
  <si>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</si>
  <si>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</si>
  <si>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</si>
  <si>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</si>
  <si>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</si>
  <si>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</si>
  <si>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</si>
  <si>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</si>
  <si>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</si>
  <si>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</si>
  <si>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</si>
  <si>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</si>
  <si>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</si>
  <si>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</si>
  <si>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</si>
  <si>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</si>
  <si>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</si>
  <si>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</si>
  <si>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</si>
  <si>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</si>
  <si>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</si>
  <si>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</si>
  <si>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</si>
  <si>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</si>
  <si>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</si>
  <si>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</si>
  <si>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</si>
  <si>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</si>
  <si>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</si>
  <si>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</si>
  <si>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</si>
  <si>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</si>
  <si>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</si>
  <si>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</si>
  <si>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</si>
  <si>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</si>
  <si>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</si>
  <si>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</si>
  <si>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</si>
  <si>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</si>
  <si>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</si>
  <si>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</si>
  <si>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</si>
  <si>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</si>
  <si>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</si>
  <si>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</si>
  <si>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</si>
  <si>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</si>
  <si>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</si>
  <si>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</si>
  <si>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</si>
  <si>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</si>
  <si>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</si>
  <si>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</si>
  <si>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</si>
  <si>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</si>
  <si>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</si>
  <si>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</si>
  <si>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</si>
  <si>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</si>
  <si>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</si>
  <si>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</si>
  <si>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</si>
  <si>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</si>
  <si>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</si>
  <si>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</si>
  <si>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</si>
  <si>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</si>
  <si>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</si>
  <si>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</si>
  <si>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</si>
  <si>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</si>
  <si>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</si>
  <si>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</si>
  <si>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</si>
  <si>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</si>
  <si>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</si>
  <si>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</si>
  <si>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</si>
  <si>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</si>
  <si>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</si>
  <si>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</si>
  <si>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</si>
  <si>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</si>
  <si>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</si>
  <si>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</si>
  <si>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</si>
  <si>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</si>
  <si>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</si>
  <si>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</si>
  <si>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</si>
  <si>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</si>
  <si>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</si>
  <si>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</si>
  <si>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</si>
  <si>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</si>
  <si>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</si>
  <si>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</si>
  <si>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</si>
  <si>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</si>
  <si>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</si>
  <si>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</si>
  <si>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</si>
  <si>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</si>
  <si>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</si>
  <si>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</si>
  <si>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</si>
  <si>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</si>
  <si>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</si>
  <si>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</si>
  <si>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</si>
  <si>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</si>
  <si>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</si>
  <si>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</si>
  <si>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</si>
  <si>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</si>
  <si>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</si>
  <si>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</si>
  <si>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</si>
  <si>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</si>
  <si>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</si>
  <si>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</si>
  <si>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</si>
  <si>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</si>
  <si>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</si>
  <si>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</si>
  <si>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</si>
  <si>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</si>
  <si>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</si>
  <si>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</si>
  <si>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</si>
  <si>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</si>
  <si>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</si>
  <si>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</si>
  <si>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</si>
  <si>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</si>
  <si>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</si>
  <si>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</si>
  <si>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</si>
  <si>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</si>
  <si>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</si>
  <si>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</si>
  <si>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</si>
  <si>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</si>
  <si>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</si>
  <si>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</si>
  <si>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</si>
  <si>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</si>
  <si>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</si>
  <si>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</si>
  <si>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</si>
  <si>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</si>
  <si>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</si>
  <si>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</si>
  <si>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</si>
  <si>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</si>
  <si>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</si>
  <si>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</si>
  <si>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</si>
  <si>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</si>
  <si>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</si>
  <si>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</si>
  <si>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</si>
  <si>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</si>
  <si>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</si>
  <si>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</si>
  <si>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</si>
  <si>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</si>
  <si>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</si>
  <si>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</si>
  <si>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</si>
  <si>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</si>
  <si>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</si>
  <si>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</si>
  <si>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</si>
  <si>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</si>
  <si>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</si>
  <si>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</si>
  <si>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</si>
  <si>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</si>
  <si>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</si>
  <si>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</si>
  <si>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</si>
  <si>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</si>
  <si>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</si>
  <si>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</si>
  <si>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</si>
  <si>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</si>
  <si>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</si>
  <si>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</si>
  <si>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</si>
  <si>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</si>
  <si>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</si>
  <si>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</si>
  <si>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</si>
  <si>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</si>
  <si>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</si>
  <si>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</si>
  <si>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</si>
  <si>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</si>
  <si>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</si>
  <si>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</si>
  <si>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</si>
  <si>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</si>
  <si>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</si>
  <si>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</si>
  <si>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</si>
  <si>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</si>
  <si>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</si>
  <si>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</si>
  <si>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</si>
  <si>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</si>
  <si>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</si>
  <si>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</si>
  <si>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</si>
  <si>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</si>
  <si>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</si>
  <si>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</si>
  <si>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</si>
  <si>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</si>
  <si>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</si>
  <si>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</si>
  <si>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</si>
  <si>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</si>
  <si>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</si>
  <si>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</si>
  <si>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</si>
  <si>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</si>
  <si>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</si>
  <si>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</si>
  <si>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</si>
  <si>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</si>
  <si>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</si>
  <si>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</si>
  <si>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</si>
  <si>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</si>
  <si>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</si>
  <si>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</si>
  <si>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</si>
  <si>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</si>
  <si>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</si>
  <si>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</si>
  <si>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</si>
  <si>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</si>
  <si>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</si>
  <si>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</si>
  <si>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</si>
  <si>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</si>
  <si>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</si>
  <si>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</si>
  <si>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</si>
  <si>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</si>
  <si>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</si>
  <si>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</si>
  <si>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</si>
  <si>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</si>
  <si>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</si>
  <si>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</si>
  <si>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</si>
  <si>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</si>
  <si>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</si>
  <si>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</si>
  <si>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</si>
  <si>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</si>
  <si>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</si>
  <si>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</si>
  <si>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</si>
  <si>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</si>
  <si>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</si>
  <si>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</si>
  <si>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</si>
  <si>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</si>
  <si>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</si>
  <si>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</si>
  <si>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</si>
  <si>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</si>
  <si>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</si>
  <si>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</si>
  <si>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</si>
  <si>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</si>
  <si>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</si>
  <si>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</si>
  <si>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</si>
  <si>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</si>
  <si>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</si>
  <si>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</si>
  <si>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</si>
  <si>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</si>
  <si>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</si>
  <si>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</si>
  <si>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</si>
  <si>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</si>
  <si>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</si>
  <si>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</si>
  <si>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</si>
  <si>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</si>
  <si>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</si>
  <si>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</si>
  <si>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</si>
  <si>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</si>
  <si>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</si>
  <si>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</si>
  <si>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</si>
  <si>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</si>
  <si>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</si>
  <si>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</si>
  <si>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</si>
  <si>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</si>
  <si>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</si>
  <si>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</si>
  <si>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</si>
  <si>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</si>
  <si>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</si>
  <si>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</si>
  <si>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</si>
  <si>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</si>
  <si>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</si>
  <si>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</si>
  <si>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</si>
  <si>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</si>
  <si>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</si>
  <si>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</si>
  <si>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</si>
  <si>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</si>
  <si>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</si>
  <si>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</si>
  <si>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</si>
  <si>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</si>
  <si>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</si>
  <si>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</si>
  <si>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</si>
  <si>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</si>
  <si>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</si>
  <si>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</si>
  <si>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</si>
  <si>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</si>
  <si>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</si>
  <si>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</si>
  <si>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</si>
  <si>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</si>
  <si>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</si>
  <si>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</si>
  <si>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</si>
  <si>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</si>
  <si>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</si>
  <si>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</si>
  <si>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</si>
  <si>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</si>
  <si>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</si>
  <si>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</si>
  <si>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</si>
  <si>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</si>
  <si>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</si>
  <si>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</si>
  <si>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</si>
  <si>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</si>
  <si>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</si>
  <si>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</si>
  <si>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</si>
  <si>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</si>
  <si>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</si>
  <si>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</si>
  <si>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</si>
  <si>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</si>
  <si>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</si>
  <si>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</si>
  <si>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</si>
  <si>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</si>
  <si>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</si>
  <si>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</si>
  <si>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</si>
  <si>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</si>
  <si>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</si>
  <si>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</si>
  <si>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</si>
  <si>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</si>
  <si>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</si>
  <si>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</si>
  <si>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</si>
  <si>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</si>
  <si>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</si>
  <si>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</si>
  <si>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</si>
  <si>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</si>
  <si>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</si>
  <si>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</si>
  <si>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</si>
  <si>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</si>
  <si>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</si>
  <si>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</si>
  <si>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</si>
  <si>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</si>
  <si>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</si>
  <si>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</si>
  <si>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</si>
  <si>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</si>
  <si>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</si>
  <si>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</si>
  <si>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</si>
  <si>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</si>
  <si>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</si>
  <si>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</si>
  <si>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</si>
  <si>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</si>
  <si>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</si>
  <si>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</si>
  <si>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</si>
  <si>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</si>
  <si>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</si>
  <si>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</si>
  <si>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</si>
  <si>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</si>
  <si>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</si>
  <si>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</si>
  <si>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</si>
  <si>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</si>
  <si>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</si>
  <si>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</si>
  <si>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</si>
  <si>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</si>
  <si>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</si>
  <si>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</si>
  <si>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</si>
  <si>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</si>
  <si>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</si>
  <si>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</si>
  <si>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</si>
  <si>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</si>
  <si>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</si>
  <si>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</si>
  <si>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</si>
  <si>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</si>
  <si>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</si>
  <si>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</si>
  <si>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</si>
  <si>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</si>
  <si>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</si>
  <si>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</si>
  <si>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</si>
  <si>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</si>
  <si>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</si>
  <si>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</si>
  <si>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</si>
  <si>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</si>
  <si>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</si>
  <si>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</si>
  <si>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</si>
  <si>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</si>
  <si>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</si>
  <si>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</si>
  <si>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</si>
  <si>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</si>
  <si>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</si>
  <si>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</si>
  <si>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</si>
  <si>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</si>
  <si>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</si>
  <si>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</si>
  <si>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</si>
  <si>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</si>
  <si>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</si>
  <si>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</si>
  <si>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</si>
  <si>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</si>
  <si>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</si>
  <si>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</si>
  <si>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</si>
  <si>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</si>
  <si>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</si>
  <si>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</si>
  <si>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</si>
  <si>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</si>
  <si>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</si>
  <si>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</si>
  <si>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</si>
  <si>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</si>
  <si>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</si>
  <si>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</si>
  <si>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</si>
  <si>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</si>
  <si>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</si>
  <si>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</si>
  <si>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</si>
  <si>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</si>
  <si>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</si>
  <si>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</si>
  <si>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</si>
  <si>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</si>
  <si>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</si>
  <si>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</si>
  <si>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</si>
  <si>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</si>
  <si>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</si>
  <si>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</si>
  <si>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</si>
  <si>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</si>
  <si>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</si>
  <si>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</si>
  <si>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</si>
  <si>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</si>
  <si>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</si>
  <si>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</si>
  <si>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</si>
  <si>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</si>
  <si>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</si>
  <si>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</si>
  <si>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</si>
  <si>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</si>
  <si>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</si>
  <si>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</si>
  <si>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</si>
  <si>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</si>
  <si>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</si>
  <si>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</si>
  <si>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</si>
  <si>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</si>
  <si>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</si>
  <si>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</si>
  <si>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</si>
  <si>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</si>
  <si>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</si>
  <si>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</si>
  <si>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</si>
  <si>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</si>
  <si>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</si>
  <si>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</si>
  <si>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</si>
  <si>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</si>
  <si>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</si>
  <si>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</si>
  <si>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</si>
  <si>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</si>
  <si>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</si>
  <si>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</si>
  <si>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</si>
  <si>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</si>
  <si>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</si>
  <si>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</si>
  <si>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</si>
  <si>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</si>
  <si>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</si>
  <si>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</si>
  <si>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</si>
  <si>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</si>
  <si>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</si>
  <si>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</si>
  <si>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</si>
  <si>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</si>
  <si>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</si>
  <si>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</si>
  <si>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</si>
  <si>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</si>
  <si>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</si>
  <si>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</si>
  <si>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</si>
  <si>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</si>
  <si>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</si>
  <si>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</si>
  <si>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</si>
  <si>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</si>
  <si>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</si>
  <si>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</si>
  <si>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</si>
  <si>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</si>
  <si>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</si>
  <si>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</si>
  <si>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</si>
  <si>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</si>
  <si>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</si>
  <si>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</si>
  <si>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</si>
  <si>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</si>
  <si>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</si>
  <si>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</si>
  <si>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</si>
  <si>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</si>
  <si>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</si>
  <si>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</si>
  <si>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</si>
  <si>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</si>
  <si>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</si>
  <si>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</si>
  <si>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</si>
  <si>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</si>
  <si>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</si>
  <si>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</si>
  <si>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</si>
  <si>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</si>
  <si>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</si>
  <si>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</si>
  <si>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</si>
  <si>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</si>
  <si>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</si>
  <si>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</si>
  <si>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</si>
  <si>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</si>
  <si>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</si>
  <si>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</si>
  <si>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</si>
  <si>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</si>
  <si>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</si>
  <si>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</si>
  <si>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</si>
  <si>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</si>
  <si>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</si>
  <si>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</si>
  <si>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</si>
  <si>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</si>
  <si>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</si>
  <si>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</si>
  <si>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</si>
  <si>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</si>
  <si>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</si>
  <si>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</si>
  <si>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</si>
  <si>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</si>
  <si>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</si>
  <si>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</si>
  <si>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</si>
  <si>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</si>
  <si>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</si>
  <si>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</si>
  <si>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</si>
  <si>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</si>
  <si>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</si>
  <si>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</si>
  <si>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</si>
  <si>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</si>
  <si>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</si>
  <si>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</si>
  <si>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</si>
  <si>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</si>
  <si>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</si>
  <si>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</si>
  <si>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</si>
  <si>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</si>
  <si>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</si>
  <si>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</si>
  <si>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</si>
  <si>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</si>
  <si>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</si>
  <si>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</si>
  <si>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</si>
  <si>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</si>
  <si>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</si>
  <si>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</si>
  <si>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</si>
  <si>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</si>
  <si>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</si>
  <si>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</si>
  <si>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</si>
  <si>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</si>
  <si>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</si>
  <si>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</si>
  <si>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</si>
  <si>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</si>
  <si>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</si>
  <si>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</si>
  <si>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</si>
  <si>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</si>
  <si>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</si>
  <si>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</si>
  <si>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</si>
  <si>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</si>
  <si>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</si>
  <si>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</si>
  <si>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</si>
  <si>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</si>
  <si>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</si>
  <si>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</si>
  <si>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</si>
  <si>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</si>
  <si>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</si>
  <si>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</si>
  <si>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</si>
  <si>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</si>
  <si>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</si>
  <si>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</si>
  <si>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</si>
  <si>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</si>
  <si>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</si>
  <si>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</si>
  <si>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</si>
  <si>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</si>
  <si>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</si>
  <si>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</si>
  <si>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</si>
  <si>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</si>
  <si>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</si>
  <si>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</si>
  <si>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</si>
  <si>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</si>
  <si>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</si>
  <si>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</si>
  <si>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</si>
  <si>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</si>
  <si>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</si>
  <si>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</si>
  <si>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</si>
  <si>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</si>
  <si>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</si>
  <si>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</si>
  <si>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</si>
  <si>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</si>
  <si>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</si>
  <si>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</si>
  <si>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</si>
  <si>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</si>
  <si>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</si>
  <si>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</si>
  <si>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</si>
  <si>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</si>
  <si>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</si>
  <si>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</si>
  <si>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</si>
  <si>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</si>
  <si>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</si>
  <si>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</si>
  <si>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</si>
  <si>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</si>
  <si>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</si>
  <si>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</si>
  <si>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</si>
  <si>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</si>
  <si>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</si>
  <si>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</si>
  <si>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</si>
  <si>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</si>
  <si>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</si>
  <si>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</si>
  <si>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</si>
  <si>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</si>
  <si>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</si>
  <si>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</si>
  <si>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</si>
  <si>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</si>
  <si>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</si>
  <si>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</si>
  <si>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</si>
  <si>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</si>
  <si>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</si>
  <si>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</si>
  <si>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</si>
  <si>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</si>
  <si>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</si>
  <si>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</si>
  <si>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</si>
  <si>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</si>
  <si>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</si>
  <si>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</si>
  <si>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</si>
  <si>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</si>
  <si>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</si>
  <si>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</si>
  <si>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</si>
  <si>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</si>
  <si>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</si>
  <si>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</si>
  <si>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</si>
  <si>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</si>
  <si>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</si>
  <si>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</si>
  <si>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</si>
  <si>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</si>
  <si>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</si>
  <si>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</si>
  <si>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</si>
  <si>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</si>
  <si>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</si>
  <si>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</si>
  <si>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</si>
  <si>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</si>
  <si>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</si>
  <si>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</si>
  <si>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</si>
  <si>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</si>
  <si>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</si>
  <si>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</si>
  <si>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</si>
  <si>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</si>
  <si>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</si>
  <si>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</si>
  <si>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</si>
  <si>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</si>
  <si>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</si>
  <si>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</si>
  <si>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</si>
  <si>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</si>
  <si>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</si>
  <si>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</si>
  <si>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</si>
  <si>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</si>
  <si>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</si>
  <si>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</si>
  <si>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</si>
  <si>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</si>
  <si>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</si>
  <si>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</si>
  <si>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</si>
  <si>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</si>
  <si>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</si>
  <si>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</si>
  <si>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</si>
  <si>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</si>
  <si>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</si>
  <si>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</si>
  <si>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</si>
  <si>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</si>
  <si>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</si>
  <si>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</si>
  <si>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</si>
  <si>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</si>
  <si>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</si>
  <si>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</si>
  <si>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</si>
  <si>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</si>
  <si>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</si>
  <si>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</si>
  <si>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</si>
  <si>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</si>
  <si>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</si>
  <si>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</si>
  <si>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</si>
  <si>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</si>
  <si>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</si>
  <si>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</si>
  <si>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</si>
  <si>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</si>
  <si>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</si>
  <si>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</si>
  <si>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</si>
  <si>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</si>
  <si>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</si>
  <si>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</si>
  <si>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</si>
  <si>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</si>
  <si>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</si>
  <si>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</si>
  <si>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</si>
  <si>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</si>
  <si>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</si>
  <si>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</si>
  <si>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</si>
  <si>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</si>
  <si>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</si>
  <si>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</si>
  <si>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</si>
  <si>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</si>
  <si>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</si>
  <si>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</si>
  <si>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</si>
  <si>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</si>
  <si>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</si>
  <si>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</si>
  <si>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</si>
  <si>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</si>
  <si>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</si>
  <si>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</si>
  <si>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</si>
  <si>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</si>
  <si>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</si>
  <si>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</si>
  <si>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</si>
  <si>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</si>
  <si>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</si>
  <si>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</si>
  <si>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</si>
  <si>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</si>
  <si>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</si>
  <si>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</si>
  <si>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</si>
  <si>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</si>
  <si>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</si>
  <si>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</si>
  <si>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</si>
  <si>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</si>
  <si>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</si>
  <si>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</si>
  <si>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</si>
  <si>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</si>
  <si>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</si>
  <si>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</si>
  <si>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</si>
  <si>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</si>
  <si>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</si>
  <si>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</si>
  <si>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</si>
  <si>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</si>
  <si>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</si>
  <si>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</si>
  <si>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</si>
  <si>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</si>
  <si>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</si>
  <si>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</si>
  <si>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</si>
  <si>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</si>
  <si>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</si>
  <si>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</si>
  <si>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</si>
  <si>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</si>
  <si>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</si>
  <si>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</si>
  <si>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</si>
  <si>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</si>
  <si>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</si>
  <si>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</si>
  <si>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</si>
  <si>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</si>
  <si>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</si>
  <si>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</si>
  <si>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</si>
  <si>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</si>
  <si>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</si>
  <si>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</si>
  <si>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</si>
  <si>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</si>
  <si>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</si>
  <si>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</si>
  <si>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</si>
  <si>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</si>
  <si>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</si>
  <si>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</si>
  <si>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</si>
  <si>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</si>
  <si>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</si>
  <si>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</si>
  <si>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</si>
  <si>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</si>
  <si>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</si>
  <si>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</si>
  <si>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</si>
  <si>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</si>
  <si>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</si>
  <si>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</si>
  <si>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</si>
  <si>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</si>
  <si>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</si>
  <si>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</si>
  <si>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</si>
  <si>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</si>
  <si>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</si>
  <si>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</si>
  <si>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</si>
  <si>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</si>
  <si>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</si>
  <si>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</si>
  <si>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</si>
  <si>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</si>
  <si>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</si>
  <si>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</si>
  <si>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</si>
  <si>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</si>
  <si>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</si>
  <si>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</si>
  <si>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</si>
  <si>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</si>
  <si>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</si>
  <si>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</si>
  <si>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</si>
  <si>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</si>
  <si>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</si>
  <si>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</si>
  <si>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</si>
  <si>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</si>
  <si>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</si>
  <si>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</si>
  <si>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</si>
  <si>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</si>
  <si>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</si>
  <si>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</si>
  <si>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</si>
  <si>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</si>
  <si>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</si>
  <si>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</si>
  <si>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</si>
  <si>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</si>
  <si>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</si>
  <si>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</si>
  <si>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</si>
  <si>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</si>
  <si>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</si>
  <si>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</si>
  <si>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</si>
  <si>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</si>
  <si>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</si>
  <si>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</si>
  <si>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</si>
  <si>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</si>
  <si>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</si>
  <si>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</si>
  <si>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</si>
  <si>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</si>
  <si>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</si>
  <si>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</si>
  <si>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</si>
  <si>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</si>
  <si>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</si>
  <si>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</si>
  <si>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</si>
  <si>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</si>
  <si>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</si>
  <si>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</si>
  <si>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</si>
  <si>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</si>
  <si>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</si>
  <si>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</si>
  <si>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</si>
  <si>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</si>
  <si>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</si>
  <si>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</si>
  <si>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</si>
  <si>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</si>
  <si>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</si>
  <si>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</si>
  <si>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</si>
  <si>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</si>
  <si>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</si>
  <si>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</si>
  <si>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</si>
  <si>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</si>
  <si>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</si>
  <si>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</si>
  <si>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</si>
  <si>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</si>
  <si>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</si>
  <si>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</si>
  <si>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</si>
  <si>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</si>
  <si>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</si>
  <si>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</si>
  <si>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</si>
  <si>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</si>
  <si>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</si>
  <si>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</si>
  <si>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</si>
  <si>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</si>
  <si>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</si>
  <si>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</si>
  <si>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</si>
  <si>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</si>
  <si>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</si>
  <si>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</si>
  <si>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</si>
  <si>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</si>
  <si>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</si>
  <si>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</si>
  <si>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</si>
  <si>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</si>
  <si>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</si>
  <si>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</si>
  <si>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</si>
  <si>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</si>
  <si>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</si>
  <si>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</si>
  <si>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</si>
  <si>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</si>
  <si>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</si>
  <si>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</si>
  <si>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</si>
  <si>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</si>
  <si>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</si>
  <si>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</si>
  <si>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</si>
  <si>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</si>
  <si>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</si>
  <si>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</si>
  <si>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</si>
  <si>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</si>
  <si>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</si>
  <si>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</si>
  <si>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</si>
  <si>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</si>
  <si>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</si>
  <si>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</si>
  <si>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</si>
  <si>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</si>
  <si>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</si>
  <si>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</si>
  <si>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</si>
  <si>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</si>
  <si>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</si>
  <si>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</si>
  <si>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</si>
  <si>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</si>
  <si>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</si>
  <si>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</si>
  <si>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</si>
  <si>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</si>
  <si>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</si>
  <si>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</si>
  <si>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</si>
  <si>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</si>
  <si>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</si>
  <si>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</si>
  <si>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</si>
  <si>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</si>
  <si>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</si>
  <si>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</si>
  <si>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</si>
  <si>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</si>
  <si>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</si>
  <si>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</si>
  <si>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</si>
  <si>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</si>
  <si>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</si>
  <si>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</si>
  <si>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</si>
  <si>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</si>
  <si>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</si>
  <si>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</si>
  <si>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</si>
  <si>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</si>
  <si>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</si>
  <si>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</si>
  <si>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</si>
  <si>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</si>
  <si>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</si>
  <si>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</si>
  <si>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</si>
  <si>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</si>
  <si>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</si>
  <si>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</si>
  <si>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</si>
  <si>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</si>
  <si>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</si>
  <si>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</si>
  <si>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</si>
  <si>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</si>
  <si>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</si>
  <si>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</si>
  <si>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</si>
  <si>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</si>
  <si>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</si>
  <si>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</si>
  <si>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</si>
  <si>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</si>
  <si>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</si>
  <si>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</si>
  <si>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</si>
  <si>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</si>
  <si>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</si>
  <si>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</si>
  <si>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</si>
  <si>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</si>
  <si>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</si>
  <si>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</si>
  <si>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</si>
  <si>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</si>
  <si>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</si>
  <si>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</si>
  <si>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</si>
  <si>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</si>
  <si>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</si>
  <si>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</si>
  <si>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</si>
  <si>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</si>
  <si>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</si>
  <si>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</si>
  <si>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</si>
  <si>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</si>
  <si>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</si>
  <si>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</si>
  <si>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</si>
  <si>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</si>
  <si>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</si>
  <si>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</si>
  <si>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</si>
  <si>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</si>
  <si>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</si>
  <si>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</si>
  <si>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</si>
  <si>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</si>
  <si>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</si>
  <si>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</si>
  <si>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</si>
  <si>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</si>
  <si>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</si>
  <si>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</si>
  <si>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</si>
  <si>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</si>
  <si>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</si>
  <si>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</si>
  <si>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</si>
  <si>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</si>
  <si>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</si>
  <si>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</si>
  <si>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</si>
  <si>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</si>
  <si>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</si>
  <si>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</si>
  <si>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</si>
  <si>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</si>
  <si>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</si>
  <si>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</si>
  <si>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</si>
  <si>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</si>
  <si>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</si>
  <si>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</si>
  <si>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</si>
  <si>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</si>
  <si>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</si>
  <si>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</si>
  <si>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</si>
  <si>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</si>
  <si>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</si>
  <si>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</si>
  <si>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</si>
  <si>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</si>
  <si>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</si>
  <si>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</si>
  <si>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</si>
  <si>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</si>
  <si>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</si>
  <si>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</si>
  <si>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</si>
  <si>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</si>
  <si>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</si>
  <si>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</si>
  <si>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</si>
  <si>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</si>
  <si>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</si>
  <si>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</si>
  <si>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</si>
  <si>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</si>
  <si>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</si>
  <si>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</si>
  <si>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</si>
  <si>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</si>
  <si>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</si>
  <si>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</si>
  <si>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</si>
  <si>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</si>
  <si>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</si>
  <si>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</si>
  <si>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</si>
  <si>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</si>
  <si>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</si>
  <si>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</si>
  <si>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</si>
  <si>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</si>
  <si>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</si>
  <si>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</si>
  <si>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</si>
  <si>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</si>
  <si>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</si>
  <si>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</si>
  <si>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</si>
  <si>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</si>
  <si>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</si>
  <si>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</si>
  <si>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</si>
  <si>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</si>
  <si>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</si>
  <si>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</si>
  <si>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</si>
  <si>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</si>
  <si>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</si>
  <si>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</si>
  <si>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</si>
  <si>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</si>
  <si>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</si>
  <si>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</si>
  <si>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</si>
  <si>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</si>
  <si>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</si>
  <si>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</si>
  <si>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</si>
  <si>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</si>
  <si>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</si>
  <si>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</si>
  <si>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</si>
  <si>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</si>
  <si>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</si>
  <si>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</si>
  <si>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</si>
  <si>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</si>
  <si>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</si>
  <si>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</si>
  <si>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</si>
  <si>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</si>
  <si>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</si>
  <si>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</si>
  <si>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</si>
  <si>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</si>
  <si>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</si>
  <si>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</si>
  <si>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</si>
  <si>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</si>
  <si>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</si>
  <si>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</si>
  <si>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</si>
  <si>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</si>
  <si>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</si>
  <si>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</si>
  <si>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</si>
  <si>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</si>
  <si>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</si>
  <si>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</si>
  <si>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</si>
  <si>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</si>
  <si>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</si>
  <si>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</si>
  <si>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</si>
  <si>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</si>
  <si>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</si>
  <si>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</si>
  <si>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</si>
  <si>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</si>
  <si>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</si>
  <si>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</si>
  <si>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</si>
  <si>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</si>
  <si>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</si>
  <si>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</si>
  <si>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</si>
  <si>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</si>
  <si>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</si>
  <si>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</si>
  <si>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</si>
  <si>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</si>
  <si>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</si>
  <si>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</si>
  <si>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</si>
  <si>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</si>
  <si>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</si>
  <si>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</si>
  <si>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</si>
  <si>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</si>
  <si>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</si>
  <si>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</si>
  <si>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</si>
  <si>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</si>
  <si>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</si>
  <si>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</si>
  <si>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</si>
  <si>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</si>
  <si>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</si>
  <si>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</si>
  <si>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</si>
  <si>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</si>
  <si>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</si>
  <si>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</si>
  <si>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</si>
  <si>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</si>
  <si>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</si>
  <si>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</si>
  <si>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</si>
  <si>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</si>
  <si>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</si>
  <si>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</si>
  <si>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</si>
  <si>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</si>
  <si>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</si>
  <si>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</si>
  <si>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</si>
  <si>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</si>
  <si>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</si>
  <si>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</si>
  <si>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</si>
  <si>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</si>
  <si>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</si>
  <si>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</si>
  <si>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</si>
  <si>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</si>
  <si>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</si>
  <si>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</si>
  <si>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</si>
  <si>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</si>
  <si>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</si>
  <si>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</si>
  <si>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</si>
  <si>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</si>
  <si>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</si>
  <si>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</si>
  <si>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</si>
  <si>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</si>
  <si>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</si>
  <si>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</si>
  <si>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</si>
  <si>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</si>
  <si>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</si>
  <si>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</si>
  <si>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</si>
  <si>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</si>
  <si>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</si>
  <si>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</si>
  <si>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</si>
  <si>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</si>
  <si>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</si>
  <si>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</si>
  <si>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</si>
  <si>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</si>
  <si>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</si>
  <si>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</si>
  <si>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</si>
  <si>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</si>
  <si>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</si>
  <si>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</si>
  <si>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</si>
  <si>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</si>
  <si>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</si>
  <si>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</si>
  <si>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</si>
  <si>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</si>
  <si>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</si>
  <si>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</si>
  <si>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</si>
  <si>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</si>
  <si>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</si>
  <si>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</si>
  <si>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</si>
  <si>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</si>
  <si>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</si>
  <si>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</si>
  <si>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</si>
  <si>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</si>
  <si>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</si>
  <si>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</si>
  <si>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</si>
  <si>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</si>
  <si>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</si>
  <si>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</si>
  <si>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</si>
  <si>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</si>
  <si>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</si>
  <si>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</si>
  <si>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</si>
  <si>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</si>
  <si>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</si>
  <si>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</si>
  <si>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</si>
  <si>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</si>
  <si>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</si>
  <si>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</si>
  <si>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</si>
  <si>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</si>
  <si>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</si>
  <si>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</si>
  <si>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</si>
  <si>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</si>
  <si>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</si>
  <si>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</si>
  <si>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</si>
  <si>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</si>
  <si>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</si>
  <si>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</si>
  <si>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</si>
  <si>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</si>
  <si>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</si>
  <si>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</si>
  <si>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</si>
  <si>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</si>
  <si>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</si>
  <si>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</si>
  <si>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</si>
  <si>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</si>
  <si>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</si>
  <si>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</si>
  <si>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</si>
  <si>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</si>
  <si>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</si>
  <si>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</si>
  <si>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</si>
  <si>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</si>
  <si>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</si>
  <si>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</si>
  <si>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</si>
  <si>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</si>
  <si>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</si>
  <si>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</si>
  <si>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</si>
  <si>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</si>
  <si>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</si>
  <si>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</si>
  <si>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</si>
  <si>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</si>
  <si>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</si>
  <si>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</si>
  <si>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</si>
  <si>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</si>
  <si>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</si>
  <si>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</si>
  <si>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</si>
  <si>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</si>
  <si>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</si>
  <si>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</si>
  <si>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</si>
  <si>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</si>
  <si>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</si>
  <si>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</si>
  <si>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</si>
  <si>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</si>
  <si>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</si>
  <si>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</si>
  <si>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</si>
  <si>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</si>
  <si>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</si>
  <si>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</si>
  <si>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</si>
  <si>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</si>
  <si>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</si>
  <si>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</si>
  <si>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</si>
  <si>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</si>
  <si>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</si>
  <si>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</si>
  <si>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</si>
  <si>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</si>
  <si>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</si>
  <si>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</si>
  <si>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</si>
  <si>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</si>
  <si>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</si>
  <si>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</si>
  <si>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</si>
  <si>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</si>
  <si>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</si>
  <si>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</si>
  <si>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</si>
  <si>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</si>
  <si>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</si>
  <si>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</si>
  <si>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</si>
  <si>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</si>
  <si>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</si>
  <si>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</si>
  <si>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</si>
  <si>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</si>
  <si>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</si>
  <si>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</si>
  <si>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</si>
  <si>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</si>
  <si>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</si>
  <si>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</si>
  <si>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</si>
  <si>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</si>
  <si>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</si>
  <si>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</si>
  <si>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</si>
  <si>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</si>
  <si>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</si>
  <si>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</si>
  <si>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</si>
  <si>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</si>
  <si>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</si>
  <si>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</si>
  <si>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</si>
  <si>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</si>
  <si>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</si>
  <si>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</si>
  <si>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</si>
  <si>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</si>
  <si>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</si>
  <si>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</si>
  <si>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</si>
  <si>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</si>
  <si>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</si>
  <si>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</si>
  <si>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</si>
  <si>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</si>
  <si>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</si>
  <si>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</si>
  <si>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</si>
  <si>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</si>
  <si>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</si>
  <si>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</si>
  <si>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</si>
  <si>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</si>
  <si>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</si>
  <si>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</si>
  <si>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</si>
  <si>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</si>
  <si>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</si>
  <si>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</si>
  <si>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</si>
  <si>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</si>
  <si>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</si>
  <si>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</si>
  <si>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</si>
  <si>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</si>
  <si>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</si>
  <si>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</si>
  <si>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</si>
  <si>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</si>
  <si>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</si>
  <si>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</si>
  <si>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</si>
  <si>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</si>
  <si>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</si>
  <si>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</si>
  <si>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</si>
  <si>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</si>
  <si>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</si>
  <si>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</si>
  <si>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</si>
  <si>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</si>
  <si>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</si>
  <si>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</si>
  <si>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</si>
  <si>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</si>
  <si>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</si>
  <si>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</si>
  <si>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</si>
  <si>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</si>
  <si>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</si>
  <si>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</si>
  <si>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</si>
  <si>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</si>
  <si>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</si>
  <si>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</si>
  <si>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</si>
  <si>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</si>
  <si>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</si>
  <si>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</si>
  <si>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</si>
  <si>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</si>
  <si>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</si>
  <si>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</si>
  <si>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</si>
  <si>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</si>
  <si>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</si>
  <si>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</si>
  <si>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</si>
  <si>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</si>
  <si>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</si>
  <si>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</si>
  <si>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</si>
  <si>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</si>
  <si>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</si>
  <si>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</si>
  <si>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</si>
  <si>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</si>
  <si>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</si>
  <si>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</si>
  <si>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</si>
  <si>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</si>
  <si>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</si>
  <si>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</si>
  <si>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</si>
  <si>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</si>
  <si>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</si>
  <si>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</si>
  <si>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</si>
  <si>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</si>
  <si>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</si>
  <si>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</si>
  <si>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</si>
  <si>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</si>
  <si>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</si>
  <si>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</si>
  <si>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</si>
  <si>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</si>
  <si>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</si>
  <si>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</si>
  <si>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</si>
  <si>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</si>
  <si>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</si>
  <si>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</si>
  <si>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</si>
  <si>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</si>
  <si>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</si>
  <si>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</si>
  <si>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</si>
  <si>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</si>
  <si>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</si>
  <si>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</si>
  <si>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</si>
  <si>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</si>
  <si>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</si>
  <si>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</si>
  <si>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</si>
  <si>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</si>
  <si>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</si>
  <si>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</si>
  <si>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</si>
  <si>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</si>
  <si>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</si>
  <si>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</si>
  <si>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</si>
  <si>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</si>
  <si>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</si>
  <si>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</si>
  <si>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</si>
  <si>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</si>
  <si>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</si>
  <si>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</si>
  <si>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</si>
  <si>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</si>
  <si>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</si>
  <si>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</si>
  <si>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</si>
  <si>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</si>
  <si>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</si>
  <si>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</si>
  <si>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</si>
  <si>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</si>
  <si>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</si>
  <si>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</si>
  <si>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</si>
  <si>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</si>
  <si>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</si>
  <si>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</si>
  <si>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</si>
  <si>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</si>
  <si>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</si>
  <si>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</si>
  <si>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</si>
  <si>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</si>
  <si>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</si>
  <si>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</si>
  <si>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</si>
  <si>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</si>
  <si>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</si>
  <si>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</si>
  <si>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</si>
  <si>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</si>
  <si>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</si>
  <si>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</si>
  <si>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</si>
  <si>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</si>
  <si>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</si>
  <si>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</si>
  <si>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</si>
  <si>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</si>
  <si>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</si>
  <si>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</si>
  <si>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</si>
  <si>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</si>
  <si>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</si>
  <si>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</si>
  <si>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</si>
  <si>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</si>
  <si>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</si>
  <si>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</si>
  <si>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</si>
  <si>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</si>
  <si>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</si>
  <si>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</si>
  <si>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</si>
  <si>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</si>
  <si>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</si>
  <si>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</si>
  <si>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</si>
  <si>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</si>
  <si>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</si>
  <si>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</si>
  <si>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</si>
  <si>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</si>
  <si>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</si>
  <si>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</si>
  <si>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</si>
  <si>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</si>
  <si>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</si>
  <si>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</si>
  <si>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</si>
  <si>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</si>
  <si>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</si>
  <si>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</si>
  <si>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</si>
  <si>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</si>
  <si>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</si>
  <si>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</si>
  <si>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</si>
  <si>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</si>
  <si>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</si>
  <si>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</si>
  <si>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</si>
  <si>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</si>
  <si>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</si>
  <si>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</si>
  <si>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</si>
  <si>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</si>
  <si>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</si>
  <si>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</si>
  <si>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</si>
  <si>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</si>
  <si>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</si>
  <si>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</si>
  <si>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</si>
  <si>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</si>
  <si>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</si>
  <si>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</si>
  <si>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</si>
  <si>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</si>
  <si>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</si>
  <si>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</si>
  <si>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</si>
  <si>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</si>
  <si>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</si>
  <si>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</si>
  <si>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</si>
  <si>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</si>
  <si>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</si>
  <si>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</si>
  <si>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</si>
  <si>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</si>
  <si>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</si>
  <si>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</si>
  <si>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</si>
  <si>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</si>
  <si>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</si>
  <si>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</si>
  <si>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</si>
  <si>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</si>
  <si>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</si>
  <si>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</si>
  <si>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</si>
  <si>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</si>
  <si>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</si>
  <si>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</si>
  <si>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</si>
  <si>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</si>
  <si>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</si>
  <si>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</si>
  <si>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</si>
  <si>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</si>
  <si>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</si>
  <si>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</si>
  <si>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</si>
  <si>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</si>
  <si>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</si>
  <si>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</si>
  <si>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</si>
  <si>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</si>
  <si>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</si>
  <si>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</si>
  <si>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</si>
  <si>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</si>
  <si>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</si>
  <si>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</si>
  <si>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</si>
  <si>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</si>
  <si>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</si>
  <si>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</si>
  <si>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</si>
  <si>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</si>
  <si>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</si>
  <si>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</si>
  <si>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</si>
  <si>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</si>
  <si>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</si>
  <si>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</si>
  <si>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</si>
  <si>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</si>
  <si>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</si>
  <si>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</si>
  <si>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</si>
  <si>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</si>
  <si>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</si>
  <si>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</si>
  <si>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</si>
  <si>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</si>
  <si>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</si>
  <si>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</si>
  <si>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</si>
  <si>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</si>
  <si>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</si>
  <si>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</si>
  <si>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</si>
  <si>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</si>
  <si>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</si>
  <si>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</si>
  <si>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</si>
  <si>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</si>
  <si>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</si>
  <si>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</si>
  <si>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</si>
  <si>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</si>
  <si>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</si>
  <si>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</si>
  <si>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</si>
  <si>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</si>
  <si>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</si>
  <si>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</si>
  <si>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</si>
  <si>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</si>
  <si>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</si>
  <si>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</si>
  <si>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</si>
  <si>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</si>
  <si>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</si>
  <si>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</si>
  <si>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</si>
  <si>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</si>
  <si>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</si>
  <si>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</si>
  <si>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</si>
  <si>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</si>
  <si>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</si>
  <si>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</si>
  <si>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</si>
  <si>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</si>
  <si>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</si>
  <si>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</si>
  <si>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</si>
  <si>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</si>
  <si>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</si>
  <si>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</si>
  <si>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</si>
  <si>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</si>
  <si>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</si>
  <si>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</si>
  <si>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</si>
  <si>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</si>
  <si>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</si>
  <si>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</si>
  <si>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</si>
  <si>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</si>
  <si>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</si>
  <si>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</si>
  <si>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</si>
  <si>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</si>
  <si>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</si>
  <si>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</si>
  <si>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</si>
  <si>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</si>
  <si>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</si>
  <si>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</si>
  <si>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</si>
  <si>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</si>
  <si>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</si>
  <si>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</si>
  <si>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</si>
  <si>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</si>
  <si>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</si>
  <si>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</si>
  <si>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</si>
  <si>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</si>
  <si>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</si>
  <si>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</si>
  <si>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</si>
  <si>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</si>
  <si>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</si>
  <si>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</si>
  <si>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</si>
  <si>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</si>
  <si>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</si>
  <si>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</si>
  <si>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</si>
  <si>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</si>
  <si>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</si>
  <si>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</si>
  <si>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</si>
  <si>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</si>
  <si>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</si>
  <si>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</si>
  <si>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</si>
  <si>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</si>
  <si>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</si>
  <si>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</si>
  <si>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</si>
  <si>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</si>
  <si>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</si>
  <si>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</si>
  <si>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</si>
  <si>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</si>
  <si>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</si>
  <si>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</si>
  <si>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</si>
  <si>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</si>
  <si>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</si>
  <si>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</si>
  <si>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</si>
  <si>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</si>
  <si>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</si>
  <si>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</si>
  <si>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</si>
  <si>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</si>
  <si>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</si>
  <si>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</si>
  <si>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</si>
  <si>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</si>
  <si>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</si>
  <si>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</si>
  <si>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</si>
  <si>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</si>
  <si>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</si>
  <si>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</si>
  <si>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</si>
  <si>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</si>
  <si>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</si>
  <si>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</si>
  <si>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</si>
  <si>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</si>
  <si>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</si>
  <si>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</si>
  <si>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</si>
  <si>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</si>
  <si>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</si>
  <si>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</si>
  <si>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</si>
  <si>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</si>
  <si>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</si>
  <si>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</si>
  <si>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</si>
  <si>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</si>
  <si>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</si>
  <si>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</si>
  <si>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</si>
  <si>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</si>
  <si>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</si>
  <si>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</si>
  <si>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</si>
  <si>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</si>
  <si>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</si>
  <si>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</si>
  <si>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</si>
  <si>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</si>
  <si>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</si>
  <si>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</si>
  <si>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</si>
  <si>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</si>
  <si>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</si>
  <si>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</si>
  <si>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</si>
  <si>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</si>
  <si>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</si>
  <si>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</si>
  <si>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</si>
  <si>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</si>
  <si>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</si>
  <si>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</si>
  <si>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</si>
  <si>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</si>
  <si>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</si>
  <si>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</si>
  <si>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</si>
  <si>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</si>
  <si>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</si>
  <si>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</si>
  <si>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</si>
  <si>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</si>
  <si>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</si>
  <si>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</si>
  <si>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</si>
  <si>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</si>
  <si>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</si>
  <si>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</si>
  <si>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</si>
  <si>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</si>
  <si>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</si>
  <si>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</si>
  <si>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</si>
  <si>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</si>
  <si>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</si>
  <si>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</si>
  <si>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</si>
  <si>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</si>
  <si>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</si>
  <si>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</si>
  <si>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</si>
  <si>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</si>
  <si>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</si>
  <si>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</si>
  <si>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</si>
  <si>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</si>
  <si>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</si>
  <si>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</si>
  <si>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</si>
  <si>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</si>
  <si>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</si>
  <si>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</si>
  <si>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</si>
  <si>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</si>
  <si>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</si>
  <si>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</si>
  <si>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</si>
  <si>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</si>
  <si>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</si>
  <si>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</si>
  <si>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</si>
  <si>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</si>
  <si>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</si>
  <si>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</si>
  <si>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</si>
  <si>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</si>
  <si>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</si>
  <si>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</si>
  <si>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</si>
  <si>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</si>
  <si>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</si>
  <si>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</si>
  <si>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</si>
  <si>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</si>
  <si>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</si>
  <si>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</si>
  <si>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</si>
  <si>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</si>
  <si>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</si>
  <si>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</si>
  <si>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</si>
  <si>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</si>
  <si>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</si>
  <si>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</si>
  <si>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</si>
  <si>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</si>
  <si>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</si>
  <si>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</si>
  <si>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</si>
  <si>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</si>
  <si>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</si>
  <si>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</si>
  <si>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</si>
  <si>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</si>
  <si>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</si>
  <si>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</si>
  <si>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</si>
  <si>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</si>
  <si>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</si>
  <si>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</si>
  <si>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</si>
  <si>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</si>
  <si>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</si>
  <si>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</si>
  <si>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</si>
  <si>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</si>
  <si>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</si>
  <si>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</si>
  <si>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</si>
  <si>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</si>
  <si>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</si>
  <si>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</si>
  <si>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</si>
  <si>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</si>
  <si>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</si>
  <si>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</si>
  <si>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</si>
  <si>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</si>
  <si>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</si>
  <si>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</si>
  <si>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</si>
  <si>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</si>
  <si>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</si>
  <si>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</si>
  <si>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</si>
  <si>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</si>
  <si>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</si>
  <si>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</si>
  <si>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</si>
  <si>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</si>
  <si>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</si>
  <si>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</si>
  <si>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</si>
  <si>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</si>
  <si>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</si>
  <si>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</si>
  <si>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</si>
  <si>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</si>
  <si>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</si>
  <si>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</si>
  <si>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</si>
  <si>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</si>
  <si>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</si>
  <si>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</si>
  <si>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</si>
  <si>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</si>
  <si>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</si>
  <si>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</si>
  <si>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</si>
  <si>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</si>
  <si>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</si>
  <si>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</si>
  <si>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</si>
  <si>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</si>
  <si>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</si>
  <si>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</si>
  <si>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</si>
  <si>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</si>
  <si>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</si>
  <si>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</si>
  <si>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</si>
  <si>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</si>
  <si>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</si>
  <si>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</si>
  <si>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</si>
  <si>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</si>
  <si>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</si>
  <si>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</si>
  <si>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</si>
  <si>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</si>
  <si>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</si>
  <si>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</si>
  <si>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</si>
  <si>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</si>
  <si>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</si>
  <si>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</si>
  <si>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</si>
  <si>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</si>
  <si>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</si>
  <si>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</si>
  <si>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</si>
  <si>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</si>
  <si>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</si>
  <si>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</si>
  <si>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</si>
  <si>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</si>
  <si>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</si>
  <si>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</si>
  <si>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</si>
  <si>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</si>
  <si>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</si>
  <si>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</si>
  <si>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</si>
  <si>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</si>
  <si>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</si>
  <si>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</si>
  <si>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</si>
  <si>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</si>
  <si>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</si>
  <si>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</si>
  <si>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</si>
  <si>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</si>
  <si>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</si>
  <si>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</si>
  <si>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</si>
  <si>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</si>
  <si>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</si>
  <si>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</si>
  <si>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</si>
  <si>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</si>
  <si>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</si>
  <si>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</si>
  <si>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</si>
  <si>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</si>
  <si>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</si>
  <si>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</si>
  <si>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</si>
  <si>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</si>
  <si>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</si>
  <si>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</si>
  <si>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</si>
  <si>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</si>
  <si>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</si>
  <si>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</si>
  <si>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</si>
  <si>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</si>
  <si>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</si>
  <si>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</si>
  <si>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</si>
  <si>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</si>
  <si>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</si>
  <si>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</si>
  <si>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</si>
  <si>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</si>
  <si>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</si>
  <si>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</si>
  <si>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</si>
  <si>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</si>
  <si>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</si>
  <si>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</si>
  <si>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</si>
  <si>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</si>
  <si>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</si>
  <si>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</si>
  <si>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</si>
  <si>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</si>
  <si>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</si>
  <si>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</si>
  <si>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</si>
  <si>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</si>
  <si>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</si>
  <si>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</si>
  <si>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</si>
  <si>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</si>
  <si>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</si>
  <si>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</si>
  <si>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</si>
  <si>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</si>
  <si>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</si>
  <si>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</si>
  <si>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</si>
  <si>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</si>
  <si>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</si>
  <si>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</si>
  <si>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</si>
  <si>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</si>
  <si>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</si>
  <si>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</si>
  <si>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</si>
  <si>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</si>
  <si>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</si>
  <si>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</si>
  <si>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</si>
  <si>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</si>
  <si>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</si>
  <si>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</si>
  <si>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</si>
  <si>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</si>
  <si>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</si>
  <si>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</si>
  <si>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</si>
  <si>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</si>
  <si>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</si>
  <si>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</si>
  <si>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</si>
  <si>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</si>
  <si>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</si>
  <si>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</si>
  <si>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</si>
  <si>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</si>
  <si>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</si>
  <si>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</si>
  <si>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</si>
  <si>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</si>
  <si>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</si>
  <si>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</si>
  <si>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</si>
  <si>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</si>
  <si>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</si>
  <si>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</si>
  <si>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</si>
  <si>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</si>
  <si>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</si>
  <si>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</si>
  <si>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</si>
  <si>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</si>
  <si>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</si>
  <si>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</si>
  <si>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</si>
  <si>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</si>
  <si>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</si>
  <si>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</si>
  <si>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</si>
  <si>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</si>
  <si>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</si>
  <si>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</si>
  <si>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</si>
  <si>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</si>
  <si>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</si>
  <si>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</si>
  <si>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</si>
  <si>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</si>
  <si>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</si>
  <si>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</si>
  <si>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</si>
  <si>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</si>
  <si>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</si>
  <si>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</si>
  <si>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</si>
  <si>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</si>
  <si>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</si>
  <si>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</si>
  <si>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</si>
  <si>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</si>
  <si>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</si>
  <si>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</si>
  <si>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</si>
  <si>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</si>
  <si>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</si>
  <si>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</si>
  <si>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</si>
  <si>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</si>
  <si>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</si>
  <si>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</si>
  <si>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</si>
  <si>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</si>
  <si>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</si>
  <si>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</si>
  <si>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</si>
  <si>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</si>
  <si>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</si>
  <si>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</si>
  <si>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</si>
  <si>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</si>
  <si>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</si>
  <si>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</si>
  <si>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</si>
  <si>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</si>
  <si>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</si>
  <si>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</si>
  <si>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</si>
  <si>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</si>
  <si>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</si>
  <si>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</si>
  <si>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</si>
  <si>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</si>
  <si>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</si>
  <si>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</si>
  <si>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</si>
  <si>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</si>
  <si>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</si>
  <si>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</si>
  <si>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</si>
  <si>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</si>
  <si>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</si>
  <si>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</si>
  <si>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</si>
  <si>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</si>
  <si>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</si>
  <si>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</si>
  <si>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</si>
  <si>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</si>
  <si>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</si>
  <si>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</si>
  <si>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</si>
  <si>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</si>
  <si>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</si>
  <si>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</si>
  <si>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</si>
  <si>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</si>
  <si>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</si>
  <si>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</si>
  <si>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</si>
  <si>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</si>
  <si>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</si>
  <si>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</si>
  <si>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</si>
  <si>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</si>
  <si>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</si>
  <si>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</si>
  <si>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</si>
  <si>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</si>
  <si>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</si>
  <si>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</si>
  <si>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</si>
  <si>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</si>
  <si>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</si>
  <si>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</si>
  <si>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</si>
  <si>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</si>
  <si>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</si>
  <si>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</si>
  <si>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</si>
  <si>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</si>
  <si>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</si>
  <si>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</si>
  <si>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</si>
  <si>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</si>
  <si>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</si>
  <si>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</si>
  <si>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</si>
  <si>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</si>
  <si>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</si>
  <si>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</si>
  <si>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</si>
  <si>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</si>
  <si>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</si>
  <si>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</si>
  <si>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</si>
  <si>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</si>
  <si>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</si>
  <si>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</si>
  <si>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</si>
  <si>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</si>
  <si>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</si>
  <si>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</si>
  <si>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</si>
  <si>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</si>
  <si>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</si>
  <si>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</si>
  <si>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</si>
  <si>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</si>
  <si>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</si>
  <si>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</si>
  <si>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</si>
  <si>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</si>
  <si>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</si>
  <si>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</si>
  <si>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</si>
  <si>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</si>
  <si>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</si>
  <si>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</si>
  <si>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</si>
  <si>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</si>
  <si>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</si>
  <si>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</si>
  <si>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</si>
  <si>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</si>
  <si>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</si>
  <si>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</si>
  <si>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</si>
  <si>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</si>
  <si>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</si>
  <si>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</si>
  <si>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</si>
  <si>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</si>
  <si>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</si>
  <si>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</si>
  <si>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</si>
  <si>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</si>
  <si>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</si>
  <si>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</si>
  <si>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</si>
  <si>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</si>
  <si>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</si>
  <si>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</si>
  <si>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</si>
  <si>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</si>
  <si>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</si>
  <si>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</si>
  <si>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</si>
  <si>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</si>
  <si>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</si>
  <si>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</si>
  <si>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</si>
  <si>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</si>
  <si>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</si>
  <si>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</si>
  <si>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</si>
  <si>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</si>
  <si>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</si>
  <si>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</si>
  <si>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</si>
  <si>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</si>
  <si>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</si>
  <si>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</si>
  <si>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</si>
  <si>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</si>
  <si>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</si>
  <si>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</si>
  <si>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</si>
  <si>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</si>
  <si>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</si>
  <si>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</si>
  <si>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</si>
  <si>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</si>
  <si>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</si>
  <si>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</si>
  <si>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</si>
  <si>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</si>
  <si>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</si>
  <si>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</si>
  <si>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</si>
  <si>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</si>
  <si>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</si>
  <si>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</si>
  <si>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</si>
  <si>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</si>
  <si>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</si>
  <si>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</si>
  <si>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</si>
  <si>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</si>
  <si>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</si>
  <si>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</si>
  <si>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</si>
  <si>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</si>
  <si>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</si>
  <si>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</si>
  <si>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</si>
  <si>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</si>
  <si>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</si>
  <si>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</si>
  <si>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</si>
  <si>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</si>
  <si>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</si>
  <si>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</si>
  <si>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</si>
  <si>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</si>
  <si>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</si>
  <si>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</si>
  <si>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</si>
  <si>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</si>
  <si>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</si>
  <si>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</si>
  <si>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</si>
  <si>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</si>
  <si>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</si>
  <si>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</si>
  <si>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</si>
  <si>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</si>
  <si>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</si>
  <si>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</si>
  <si>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</si>
  <si>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</si>
  <si>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</si>
  <si>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</si>
  <si>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</si>
  <si>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</si>
  <si>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</si>
  <si>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</si>
  <si>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</si>
  <si>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</si>
  <si>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</si>
  <si>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</si>
  <si>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</si>
  <si>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</si>
  <si>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</si>
  <si>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</si>
  <si>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</si>
  <si>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</si>
  <si>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</si>
  <si>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</si>
  <si>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</si>
  <si>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</si>
  <si>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</si>
  <si>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</si>
  <si>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</si>
  <si>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</si>
  <si>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</si>
  <si>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</si>
  <si>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</si>
  <si>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</si>
  <si>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</si>
  <si>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</si>
  <si>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</si>
  <si>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</si>
  <si>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</si>
  <si>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</si>
  <si>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</si>
  <si>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</si>
  <si>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</si>
  <si>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</si>
  <si>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</si>
  <si>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</si>
  <si>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</si>
  <si>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</si>
  <si>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</si>
  <si>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</si>
  <si>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</si>
  <si>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</si>
  <si>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</si>
  <si>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</si>
  <si>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</si>
  <si>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</si>
  <si>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</si>
  <si>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</si>
  <si>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</si>
  <si>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</si>
  <si>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</si>
  <si>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</si>
  <si>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</si>
  <si>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</si>
  <si>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</si>
  <si>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</si>
  <si>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</si>
  <si>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</si>
  <si>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</si>
  <si>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</si>
  <si>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</si>
  <si>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</si>
  <si>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</si>
  <si>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</si>
  <si>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</si>
  <si>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</si>
  <si>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</si>
  <si>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</si>
  <si>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</si>
  <si>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</si>
  <si>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</si>
  <si>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</si>
  <si>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</si>
  <si>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</si>
  <si>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</si>
  <si>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</si>
  <si>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</si>
  <si>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</si>
  <si>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</si>
  <si>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</si>
  <si>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</si>
  <si>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</si>
  <si>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</si>
  <si>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</si>
  <si>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</si>
  <si>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</si>
  <si>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</si>
  <si>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</si>
  <si>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</si>
  <si>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</si>
  <si>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</si>
  <si>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</si>
  <si>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</si>
  <si>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</si>
  <si>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</si>
  <si>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</si>
  <si>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</si>
  <si>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</si>
  <si>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</si>
  <si>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</si>
  <si>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</si>
  <si>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</si>
  <si>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</si>
  <si>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</si>
  <si>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</si>
  <si>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</si>
  <si>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</si>
  <si>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</si>
  <si>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</si>
  <si>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</si>
  <si>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</si>
  <si>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</si>
  <si>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</si>
  <si>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</si>
  <si>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</si>
  <si>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</si>
  <si>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</si>
  <si>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</si>
  <si>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</si>
  <si>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</si>
  <si>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</si>
  <si>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</si>
  <si>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</si>
  <si>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</si>
  <si>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</si>
  <si>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</si>
  <si>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</si>
  <si>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</si>
  <si>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</si>
  <si>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</si>
  <si>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</si>
  <si>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</si>
  <si>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</si>
  <si>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</si>
  <si>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</si>
  <si>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</si>
  <si>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</si>
  <si>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</si>
  <si>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</si>
  <si>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</si>
  <si>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</si>
  <si>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</si>
  <si>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</si>
  <si>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</si>
  <si>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</si>
  <si>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</si>
  <si>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</si>
  <si>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</si>
  <si>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</si>
  <si>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</si>
  <si>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</si>
  <si>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</si>
  <si>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</si>
  <si>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</si>
  <si>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</si>
  <si>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</si>
  <si>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</si>
  <si>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</si>
  <si>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</si>
  <si>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</si>
  <si>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</si>
  <si>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</si>
  <si>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</si>
  <si>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</si>
  <si>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</si>
  <si>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</si>
  <si>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</si>
  <si>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</si>
  <si>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</si>
  <si>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</si>
  <si>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</si>
  <si>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</si>
  <si>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</si>
  <si>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</si>
  <si>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</si>
  <si>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</si>
  <si>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</si>
  <si>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</si>
  <si>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</si>
  <si>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</si>
  <si>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</si>
  <si>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</si>
  <si>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</si>
  <si>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</si>
  <si>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</si>
  <si>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</si>
  <si>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</si>
  <si>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</si>
  <si>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</si>
  <si>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</si>
  <si>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</si>
  <si>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</si>
  <si>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</si>
  <si>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</si>
  <si>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</si>
  <si>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</si>
  <si>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</si>
  <si>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</si>
  <si>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</si>
  <si>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</si>
  <si>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</si>
  <si>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</si>
  <si>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</si>
  <si>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</si>
  <si>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</si>
  <si>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</si>
  <si>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</si>
  <si>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</si>
  <si>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</si>
  <si>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</si>
  <si>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</si>
  <si>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</si>
  <si>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</si>
  <si>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</si>
  <si>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</si>
  <si>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</si>
  <si>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</si>
  <si>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</si>
  <si>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</si>
  <si>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</si>
  <si>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</si>
  <si>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</si>
  <si>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</si>
  <si>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</si>
  <si>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</si>
  <si>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</si>
  <si>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</si>
  <si>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</si>
  <si>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</si>
  <si>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</si>
  <si>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</si>
  <si>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</si>
  <si>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</si>
  <si>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</si>
  <si>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</si>
  <si>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</si>
  <si>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</si>
  <si>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</si>
  <si>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</si>
  <si>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</si>
  <si>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</si>
  <si>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</si>
  <si>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</si>
  <si>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</si>
  <si>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</si>
  <si>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</si>
  <si>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</si>
  <si>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</si>
  <si>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</si>
  <si>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</si>
  <si>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</si>
  <si>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</si>
  <si>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</si>
  <si>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</si>
  <si>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</si>
  <si>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</si>
  <si>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</si>
  <si>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</si>
  <si>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</si>
  <si>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</si>
  <si>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</si>
  <si>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</si>
  <si>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</si>
  <si>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</si>
  <si>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</si>
  <si>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</si>
  <si>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</si>
  <si>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</si>
  <si>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</si>
  <si>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</si>
  <si>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</si>
  <si>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</si>
  <si>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</si>
  <si>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</si>
  <si>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</si>
  <si>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</si>
  <si>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</si>
  <si>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</si>
  <si>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</si>
  <si>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</si>
  <si>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</si>
  <si>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</si>
  <si>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</si>
  <si>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</si>
  <si>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</si>
  <si>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</si>
  <si>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</si>
  <si>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</si>
  <si>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</si>
  <si>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</si>
  <si>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</si>
  <si>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</si>
  <si>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</si>
  <si>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</si>
  <si>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</si>
  <si>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</si>
  <si>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</si>
  <si>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</si>
  <si>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</si>
  <si>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</si>
  <si>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</si>
  <si>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</si>
  <si>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</si>
  <si>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</si>
  <si>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</si>
  <si>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</si>
  <si>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</si>
  <si>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</si>
  <si>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</si>
  <si>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</si>
  <si>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</si>
  <si>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</si>
  <si>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</si>
  <si>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</si>
  <si>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</si>
  <si>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</si>
  <si>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</si>
  <si>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</si>
  <si>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</si>
  <si>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</si>
  <si>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</si>
  <si>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</si>
  <si>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</si>
  <si>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</si>
  <si>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</si>
  <si>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</si>
  <si>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</si>
  <si>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</si>
  <si>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</si>
  <si>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</si>
  <si>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</si>
  <si>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</si>
  <si>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</si>
  <si>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</si>
  <si>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</si>
  <si>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</si>
  <si>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</si>
  <si>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</si>
  <si>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</si>
  <si>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</si>
  <si>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</si>
  <si>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</si>
  <si>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</si>
  <si>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</si>
  <si>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</si>
  <si>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</si>
  <si>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</si>
  <si>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</si>
  <si>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</si>
  <si>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</si>
  <si>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</si>
  <si>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</si>
  <si>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</si>
  <si>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</si>
  <si>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</si>
  <si>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</si>
  <si>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</si>
  <si>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</si>
  <si>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</si>
  <si>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</si>
  <si>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</si>
  <si>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</si>
  <si>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</si>
  <si>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</si>
  <si>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</si>
  <si>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</si>
  <si>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</si>
  <si>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</si>
  <si>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</si>
  <si>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</si>
  <si>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</si>
  <si>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</si>
  <si>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</si>
  <si>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</si>
  <si>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</si>
  <si>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</si>
  <si>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</si>
  <si>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</si>
  <si>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</si>
  <si>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</si>
  <si>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</si>
  <si>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</si>
  <si>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</si>
  <si>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</si>
  <si>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</si>
  <si>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</si>
  <si>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</si>
  <si>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</si>
  <si>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</si>
  <si>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</si>
  <si>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</si>
  <si>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</si>
  <si>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</si>
  <si>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</si>
  <si>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</si>
  <si>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</si>
  <si>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</si>
  <si>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</si>
  <si>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</si>
  <si>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</si>
  <si>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</si>
  <si>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</si>
  <si>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</si>
  <si>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</si>
  <si>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</si>
  <si>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</si>
  <si>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</si>
  <si>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</si>
  <si>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</si>
  <si>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</si>
  <si>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</si>
  <si>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</si>
  <si>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</si>
  <si>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</si>
  <si>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</si>
  <si>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</si>
  <si>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</si>
  <si>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</si>
  <si>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</si>
  <si>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</si>
  <si>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</si>
  <si>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</si>
  <si>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</si>
  <si>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</si>
  <si>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</si>
  <si>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</si>
  <si>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</si>
  <si>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</si>
  <si>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</si>
  <si>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</si>
  <si>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</si>
  <si>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</si>
  <si>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</si>
  <si>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</si>
  <si>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</si>
  <si>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</si>
  <si>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</si>
  <si>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</si>
  <si>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</si>
  <si>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</si>
  <si>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</si>
  <si>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</si>
  <si>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</si>
  <si>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</si>
  <si>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</si>
  <si>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</si>
  <si>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</si>
  <si>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</si>
  <si>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</si>
  <si>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</si>
  <si>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</si>
  <si>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</si>
  <si>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</si>
  <si>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</si>
  <si>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</si>
  <si>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</si>
  <si>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</si>
  <si>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</si>
  <si>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</si>
  <si>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</si>
  <si>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</si>
  <si>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</si>
  <si>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</si>
  <si>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</si>
  <si>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</si>
  <si>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</si>
  <si>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</si>
  <si>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</si>
  <si>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</si>
  <si>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</si>
  <si>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</si>
  <si>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</si>
  <si>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</si>
  <si>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</si>
  <si>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</si>
  <si>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</si>
  <si>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</si>
  <si>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</si>
  <si>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</si>
  <si>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</si>
  <si>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</si>
  <si>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</si>
  <si>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</si>
  <si>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</si>
  <si>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</si>
  <si>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</si>
  <si>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</si>
  <si>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</si>
  <si>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</si>
  <si>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</si>
  <si>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</si>
  <si>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</si>
  <si>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</si>
  <si>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</si>
  <si>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</si>
  <si>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</si>
  <si>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</si>
  <si>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</si>
  <si>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</si>
  <si>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</si>
  <si>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</si>
  <si>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</si>
  <si>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</si>
  <si>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</si>
  <si>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</si>
  <si>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</si>
  <si>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</si>
  <si>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</si>
  <si>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</si>
  <si>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</si>
  <si>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</si>
  <si>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</si>
  <si>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</si>
  <si>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</si>
  <si>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</si>
  <si>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</si>
  <si>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</si>
  <si>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</si>
  <si>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</si>
  <si>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</si>
  <si>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</si>
  <si>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</si>
  <si>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</si>
  <si>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</si>
  <si>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</si>
  <si>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</si>
  <si>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</si>
  <si>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</si>
  <si>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</si>
  <si>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</si>
  <si>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</si>
  <si>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</si>
  <si>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</si>
  <si>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</si>
  <si>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</si>
  <si>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</si>
  <si>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</si>
  <si>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</si>
  <si>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</si>
  <si>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</si>
  <si>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</si>
  <si>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</si>
  <si>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</si>
  <si>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</si>
  <si>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</si>
  <si>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</si>
  <si>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</si>
  <si>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</si>
  <si>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</si>
  <si>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</si>
  <si>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</si>
  <si>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</si>
  <si>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</si>
  <si>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</si>
  <si>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</si>
  <si>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</si>
  <si>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</si>
  <si>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</si>
  <si>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</si>
  <si>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</si>
  <si>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</si>
  <si>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</si>
  <si>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</si>
  <si>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</si>
  <si>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</si>
  <si>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</si>
  <si>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</si>
  <si>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</si>
  <si>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</si>
  <si>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</si>
  <si>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</si>
  <si>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</si>
  <si>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</si>
  <si>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</si>
  <si>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</si>
  <si>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</si>
  <si>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</si>
  <si>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</si>
  <si>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</si>
  <si>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</si>
  <si>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</si>
  <si>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</si>
  <si>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</si>
  <si>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</si>
  <si>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</si>
  <si>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</si>
  <si>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</si>
  <si>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</si>
  <si>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</si>
  <si>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</si>
  <si>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</si>
  <si>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</si>
  <si>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</si>
  <si>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</si>
  <si>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</si>
  <si>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</si>
  <si>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</si>
  <si>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</si>
  <si>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</si>
  <si>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</si>
  <si>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</si>
  <si>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</si>
  <si>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</si>
  <si>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</si>
  <si>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</si>
  <si>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</si>
  <si>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</si>
  <si>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</si>
  <si>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</si>
  <si>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</si>
  <si>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</si>
  <si>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</si>
  <si>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</si>
  <si>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</si>
  <si>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</si>
  <si>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</si>
  <si>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</si>
  <si>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</si>
  <si>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</si>
  <si>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</si>
  <si>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</si>
  <si>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</si>
  <si>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</si>
  <si>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</si>
  <si>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</si>
  <si>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</si>
  <si>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</si>
  <si>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</si>
  <si>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</si>
  <si>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</si>
  <si>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</si>
  <si>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</si>
  <si>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</si>
  <si>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</si>
  <si>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</si>
  <si>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</si>
  <si>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</si>
  <si>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</si>
  <si>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</si>
  <si>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</si>
  <si>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</si>
  <si>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</si>
  <si>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</si>
  <si>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</si>
  <si>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</si>
  <si>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</si>
  <si>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</si>
  <si>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</si>
  <si>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</si>
  <si>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</si>
  <si>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</si>
  <si>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</si>
  <si>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</si>
  <si>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</si>
  <si>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</si>
  <si>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</si>
  <si>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</si>
  <si>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</si>
  <si>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</si>
  <si>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</si>
  <si>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</si>
  <si>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</si>
  <si>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</si>
  <si>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</si>
  <si>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</si>
  <si>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</si>
  <si>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</si>
  <si>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</si>
  <si>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</si>
  <si>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</si>
  <si>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</si>
  <si>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</si>
  <si>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</si>
  <si>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</si>
  <si>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</si>
  <si>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</si>
  <si>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</si>
  <si>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</si>
  <si>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</si>
  <si>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</si>
  <si>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</si>
  <si>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</si>
  <si>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</si>
  <si>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</si>
  <si>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</si>
  <si>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</si>
  <si>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</si>
  <si>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</si>
  <si>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</si>
  <si>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</si>
  <si>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</si>
  <si>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</si>
  <si>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</si>
  <si>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</si>
  <si>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</si>
  <si>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</si>
  <si>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</si>
  <si>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</si>
  <si>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</si>
  <si>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</si>
  <si>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</si>
  <si>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</si>
  <si>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</si>
  <si>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</si>
  <si>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</si>
  <si>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</si>
  <si>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</si>
  <si>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</si>
  <si>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</si>
  <si>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</si>
  <si>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</si>
  <si>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</si>
  <si>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</si>
  <si>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</si>
  <si>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</si>
  <si>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</si>
  <si>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</si>
  <si>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</si>
  <si>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</si>
  <si>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</si>
  <si>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</si>
  <si>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</si>
  <si>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</si>
  <si>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</si>
  <si>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</si>
  <si>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</si>
  <si>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</si>
  <si>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</si>
  <si>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</si>
  <si>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</si>
  <si>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</si>
  <si>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</si>
  <si>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</si>
  <si>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</si>
  <si>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</si>
  <si>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</si>
  <si>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</si>
  <si>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</si>
  <si>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</si>
  <si>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</si>
  <si>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</si>
  <si>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</si>
  <si>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</si>
  <si>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</si>
  <si>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</si>
  <si>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</si>
  <si>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</si>
  <si>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</si>
  <si>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</si>
  <si>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</si>
  <si>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</si>
  <si>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</si>
  <si>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</si>
  <si>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</si>
  <si>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</si>
  <si>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</si>
  <si>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</si>
  <si>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</si>
  <si>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</si>
  <si>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</si>
  <si>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</si>
  <si>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</si>
  <si>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</si>
  <si>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</si>
  <si>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</si>
  <si>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</si>
  <si>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</si>
  <si>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</si>
  <si>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</si>
  <si>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</si>
  <si>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</si>
  <si>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</si>
  <si>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</si>
  <si>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</si>
  <si>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</si>
  <si>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</si>
  <si>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</si>
  <si>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</si>
  <si>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</si>
  <si>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</si>
  <si>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</si>
  <si>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</si>
  <si>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</si>
  <si>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</si>
  <si>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</si>
  <si>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</si>
  <si>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</si>
  <si>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</si>
  <si>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</si>
  <si>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</si>
  <si>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</si>
  <si>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</si>
  <si>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</si>
  <si>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</si>
  <si>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</si>
  <si>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</si>
  <si>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</si>
  <si>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</si>
  <si>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</si>
  <si>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</si>
  <si>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</si>
  <si>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</si>
  <si>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</si>
  <si>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</si>
  <si>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</si>
  <si>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</si>
  <si>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</si>
  <si>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</si>
  <si>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</si>
  <si>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</si>
  <si>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</si>
  <si>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</si>
  <si>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</si>
  <si>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</si>
  <si>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</si>
  <si>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</si>
  <si>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</si>
  <si>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</si>
  <si>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</si>
  <si>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</si>
  <si>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</si>
  <si>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</si>
  <si>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</si>
  <si>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</si>
  <si>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</si>
  <si>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</si>
  <si>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</si>
  <si>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</si>
  <si>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</si>
  <si>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</si>
  <si>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</si>
  <si>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</si>
  <si>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</si>
  <si>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</si>
  <si>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</si>
  <si>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</si>
  <si>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</si>
  <si>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</si>
  <si>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</si>
  <si>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</si>
  <si>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</si>
  <si>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</si>
  <si>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</si>
  <si>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</si>
  <si>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</si>
  <si>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</si>
  <si>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</si>
  <si>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</si>
  <si>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</si>
  <si>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</si>
  <si>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</si>
  <si>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</si>
  <si>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</si>
  <si>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</si>
  <si>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</si>
  <si>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</si>
  <si>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</si>
  <si>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</si>
  <si>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</si>
  <si>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</si>
  <si>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</si>
  <si>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</si>
  <si>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</si>
  <si>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</si>
  <si>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</si>
  <si>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</si>
  <si>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</si>
  <si>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</si>
  <si>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</si>
  <si>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</si>
  <si>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</si>
  <si>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</si>
  <si>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</si>
  <si>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</si>
  <si>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</si>
  <si>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</si>
  <si>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</si>
  <si>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</si>
  <si>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</si>
  <si>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</si>
  <si>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</si>
  <si>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</si>
  <si>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</si>
  <si>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</si>
  <si>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</si>
  <si>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</si>
  <si>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</si>
  <si>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</si>
  <si>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</si>
  <si>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</si>
  <si>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</si>
  <si>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</si>
  <si>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</si>
  <si>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</si>
  <si>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</si>
  <si>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</si>
  <si>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</si>
  <si>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</si>
  <si>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</si>
  <si>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</si>
  <si>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</si>
  <si>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</si>
  <si>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</si>
  <si>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</si>
  <si>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</si>
  <si>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</si>
  <si>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</si>
  <si>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</si>
  <si>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</si>
  <si>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</si>
  <si>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</si>
  <si>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</si>
  <si>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</si>
  <si>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</si>
  <si>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</si>
  <si>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</si>
  <si>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</si>
  <si>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</si>
  <si>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</si>
  <si>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</si>
  <si>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</si>
  <si>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</si>
  <si>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</si>
  <si>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</si>
  <si>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</si>
  <si>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</si>
  <si>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</si>
  <si>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</si>
  <si>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</si>
  <si>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</si>
  <si>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</si>
  <si>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</si>
  <si>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</si>
  <si>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</si>
  <si>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</si>
  <si>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</si>
  <si>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</si>
  <si>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</si>
  <si>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</si>
  <si>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</si>
  <si>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</si>
  <si>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</si>
  <si>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</si>
  <si>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</si>
  <si>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</si>
  <si>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</si>
  <si>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</si>
  <si>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</si>
  <si>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</si>
  <si>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</si>
  <si>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</si>
  <si>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</si>
  <si>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</si>
  <si>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</si>
  <si>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</si>
  <si>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</si>
  <si>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</si>
  <si>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</si>
  <si>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</si>
  <si>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</si>
  <si>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</si>
  <si>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</si>
  <si>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</si>
  <si>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</si>
  <si>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</si>
  <si>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</si>
  <si>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</si>
  <si>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</si>
  <si>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</si>
  <si>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</si>
  <si>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</si>
  <si>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</si>
  <si>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</si>
  <si>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</si>
  <si>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</si>
  <si>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</si>
  <si>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</si>
  <si>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</si>
  <si>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</si>
  <si>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</si>
  <si>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</si>
  <si>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</si>
  <si>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</si>
  <si>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</si>
  <si>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</si>
  <si>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</si>
  <si>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</si>
  <si>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</si>
  <si>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</si>
  <si>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</si>
  <si>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</si>
  <si>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</si>
  <si>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</si>
  <si>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</si>
  <si>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</si>
  <si>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</si>
  <si>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</si>
  <si>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</si>
  <si>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</si>
  <si>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</si>
  <si>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</si>
  <si>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</si>
  <si>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</si>
  <si>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</si>
  <si>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</si>
  <si>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</si>
  <si>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</si>
  <si>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</si>
  <si>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</si>
  <si>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</si>
  <si>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</si>
  <si>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</si>
  <si>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</si>
  <si>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</si>
  <si>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</si>
  <si>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</si>
  <si>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</si>
  <si>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</si>
  <si>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</si>
  <si>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</si>
  <si>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</si>
  <si>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</si>
  <si>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</si>
  <si>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</si>
  <si>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</si>
  <si>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</si>
  <si>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</si>
  <si>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</si>
  <si>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</si>
  <si>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</si>
  <si>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</si>
  <si>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</si>
  <si>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</si>
  <si>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</si>
  <si>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</si>
  <si>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</si>
  <si>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</si>
  <si>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</si>
  <si>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</si>
  <si>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</si>
  <si>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</si>
  <si>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</si>
  <si>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</si>
  <si>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</si>
  <si>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</si>
  <si>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</si>
  <si>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</si>
  <si>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</si>
  <si>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</si>
  <si>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</si>
  <si>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</si>
  <si>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</si>
  <si>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</si>
  <si>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</si>
  <si>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</si>
  <si>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</si>
  <si>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</si>
  <si>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</si>
  <si>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</si>
  <si>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</si>
  <si>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</si>
  <si>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</si>
  <si>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</si>
  <si>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</si>
  <si>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</si>
  <si>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</si>
  <si>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</si>
  <si>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</si>
  <si>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</si>
  <si>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</si>
  <si>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</si>
  <si>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</si>
  <si>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</si>
  <si>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</si>
  <si>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</si>
  <si>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</si>
  <si>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</si>
  <si>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</si>
  <si>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</si>
  <si>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</si>
  <si>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</si>
  <si>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</si>
  <si>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</si>
  <si>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</si>
  <si>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</si>
  <si>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</si>
  <si>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</si>
  <si>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</si>
  <si>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</si>
  <si>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</si>
  <si>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</si>
  <si>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</si>
  <si>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</si>
  <si>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</si>
  <si>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</si>
  <si>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</si>
  <si>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</si>
  <si>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</si>
  <si>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</si>
  <si>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</si>
  <si>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</si>
  <si>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</si>
  <si>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</si>
  <si>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</si>
  <si>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</si>
  <si>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</si>
  <si>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</si>
  <si>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</si>
  <si>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</si>
  <si>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</si>
  <si>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</si>
  <si>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</si>
  <si>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</si>
  <si>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</si>
  <si>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</si>
  <si>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</si>
  <si>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</si>
  <si>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</si>
  <si>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</si>
  <si>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</si>
  <si>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</si>
  <si>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</si>
  <si>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</si>
  <si>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</si>
  <si>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</si>
  <si>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</si>
  <si>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</si>
  <si>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</si>
  <si>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</si>
  <si>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</si>
  <si>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</si>
  <si>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</si>
  <si>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</si>
  <si>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</si>
  <si>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</si>
  <si>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</si>
  <si>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</si>
  <si>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</si>
  <si>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</si>
  <si>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</si>
  <si>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</si>
  <si>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</si>
  <si>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</si>
  <si>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</si>
  <si>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</si>
  <si>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</si>
  <si>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</si>
  <si>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</si>
  <si>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</si>
  <si>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</si>
  <si>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</si>
  <si>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</si>
  <si>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</si>
  <si>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</si>
  <si>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</si>
  <si>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</si>
  <si>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</si>
  <si>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</si>
  <si>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</si>
  <si>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</si>
  <si>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</si>
  <si>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</si>
  <si>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</si>
  <si>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</si>
  <si>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</si>
  <si>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</si>
  <si>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</si>
  <si>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</si>
  <si>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</si>
  <si>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</si>
  <si>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</si>
  <si>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</si>
  <si>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</si>
  <si>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</si>
  <si>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</si>
  <si>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</si>
  <si>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</si>
  <si>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</si>
  <si>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</si>
  <si>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</si>
  <si>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</si>
  <si>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</si>
  <si>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</si>
  <si>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</si>
  <si>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</si>
  <si>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</si>
  <si>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</si>
  <si>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</si>
  <si>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</si>
  <si>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</si>
  <si>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</si>
  <si>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</si>
  <si>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</si>
  <si>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</si>
  <si>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</si>
  <si>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</si>
  <si>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</si>
  <si>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</si>
  <si>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</si>
  <si>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</si>
  <si>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</si>
  <si>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</si>
  <si>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</si>
  <si>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</si>
  <si>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</si>
  <si>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</si>
  <si>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</si>
  <si>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</si>
  <si>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</si>
  <si>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</si>
  <si>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</si>
  <si>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</si>
  <si>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</si>
  <si>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</si>
  <si>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</si>
  <si>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</si>
  <si>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</si>
  <si>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</si>
  <si>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</si>
  <si>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</si>
  <si>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</si>
  <si>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</si>
  <si>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</si>
  <si>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</si>
  <si>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</si>
  <si>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</si>
  <si>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</si>
  <si>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</si>
  <si>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</si>
  <si>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</si>
  <si>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</si>
  <si>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</si>
  <si>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</si>
  <si>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</si>
  <si>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</si>
  <si>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</si>
  <si>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</si>
  <si>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</si>
  <si>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</si>
  <si>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</si>
  <si>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</si>
  <si>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</si>
  <si>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</si>
  <si>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</si>
  <si>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</si>
  <si>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</si>
  <si>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</si>
  <si>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</si>
  <si>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</si>
  <si>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</si>
  <si>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</si>
  <si>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</si>
  <si>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</si>
  <si>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</si>
  <si>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</si>
  <si>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</si>
  <si>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</si>
  <si>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</si>
  <si>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</si>
  <si>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</si>
  <si>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</si>
  <si>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</si>
  <si>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</si>
  <si>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</si>
  <si>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</si>
  <si>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</si>
  <si>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</si>
  <si>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</si>
  <si>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</si>
  <si>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</si>
  <si>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</si>
  <si>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</si>
  <si>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</si>
  <si>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</si>
  <si>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</si>
  <si>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</si>
  <si>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</si>
  <si>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</si>
  <si>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</si>
  <si>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</si>
  <si>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</si>
  <si>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</si>
  <si>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</si>
  <si>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</si>
  <si>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</si>
  <si>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</si>
  <si>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</si>
  <si>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</si>
  <si>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</si>
  <si>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</si>
  <si>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</si>
  <si>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</si>
  <si>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</si>
  <si>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</si>
  <si>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</si>
  <si>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</si>
  <si>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</si>
  <si>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</si>
  <si>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</si>
  <si>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</si>
  <si>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</si>
  <si>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</si>
  <si>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</si>
  <si>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</si>
  <si>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</si>
  <si>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</si>
  <si>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</si>
  <si>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</si>
  <si>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</si>
  <si>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</si>
  <si>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</si>
  <si>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</si>
  <si>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</si>
  <si>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</si>
  <si>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</si>
  <si>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</si>
  <si>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</si>
  <si>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</si>
  <si>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</si>
  <si>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</si>
  <si>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</si>
  <si>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</si>
  <si>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</si>
  <si>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</si>
  <si>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</si>
  <si>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</si>
  <si>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</si>
  <si>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</si>
  <si>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</si>
  <si>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</si>
  <si>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</si>
  <si>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</si>
  <si>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</si>
  <si>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</si>
  <si>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</si>
  <si>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</si>
  <si>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</si>
  <si>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</si>
  <si>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</si>
  <si>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</si>
  <si>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</si>
  <si>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</si>
  <si>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</si>
  <si>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</si>
  <si>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</si>
  <si>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</si>
  <si>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</si>
  <si>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</si>
  <si>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</si>
  <si>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</si>
  <si>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</si>
  <si>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</si>
  <si>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</si>
  <si>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</si>
  <si>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</si>
  <si>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</si>
  <si>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</si>
  <si>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</si>
  <si>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</si>
  <si>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</si>
  <si>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</si>
  <si>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</si>
  <si>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</si>
  <si>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</si>
  <si>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</si>
  <si>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</si>
  <si>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</si>
  <si>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</si>
  <si>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</si>
  <si>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</si>
  <si>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</si>
  <si>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</si>
  <si>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</si>
  <si>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</si>
  <si>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</si>
  <si>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</si>
  <si>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</si>
  <si>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</si>
  <si>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</si>
  <si>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</si>
  <si>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</si>
  <si>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</si>
  <si>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</si>
  <si>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</si>
  <si>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</si>
  <si>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</si>
  <si>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</si>
  <si>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</si>
  <si>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</si>
  <si>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</si>
  <si>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</si>
  <si>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</si>
  <si>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</si>
  <si>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</si>
  <si>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</si>
  <si>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</si>
  <si>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</si>
  <si>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</si>
  <si>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</si>
  <si>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</si>
  <si>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</si>
  <si>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</si>
  <si>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</si>
  <si>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</si>
  <si>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</si>
  <si>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</si>
  <si>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</si>
  <si>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</si>
  <si>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</si>
  <si>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</si>
  <si>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</si>
  <si>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</si>
  <si>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</si>
  <si>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</si>
  <si>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</si>
  <si>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</si>
  <si>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</si>
  <si>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</si>
  <si>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</si>
  <si>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</si>
  <si>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</si>
  <si>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</si>
  <si>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</si>
  <si>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</si>
  <si>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</si>
  <si>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</si>
  <si>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</si>
  <si>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</si>
  <si>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</si>
  <si>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</si>
  <si>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</si>
  <si>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</si>
  <si>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</si>
  <si>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</si>
  <si>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</si>
  <si>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</si>
  <si>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</si>
  <si>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</si>
  <si>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</si>
  <si>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</si>
  <si>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</si>
  <si>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</si>
  <si>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</si>
  <si>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</si>
  <si>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</si>
  <si>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</si>
  <si>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</si>
  <si>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</si>
  <si>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</si>
  <si>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</si>
  <si>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</si>
  <si>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</si>
  <si>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</si>
  <si>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</si>
  <si>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</si>
  <si>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</si>
  <si>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</si>
  <si>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</si>
  <si>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</si>
  <si>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</si>
  <si>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</si>
  <si>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</si>
  <si>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</si>
  <si>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</si>
  <si>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</si>
  <si>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</si>
  <si>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</si>
  <si>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</si>
  <si>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</si>
  <si>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</si>
  <si>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</si>
  <si>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</si>
  <si>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</si>
  <si>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</si>
  <si>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</si>
  <si>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</si>
  <si>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</si>
  <si>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</si>
  <si>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</si>
  <si>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</si>
  <si>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</si>
  <si>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</si>
  <si>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</si>
  <si>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</si>
  <si>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</si>
  <si>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</si>
  <si>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</si>
  <si>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</si>
  <si>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</si>
  <si>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</si>
  <si>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</si>
  <si>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</si>
  <si>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</si>
  <si>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</si>
  <si>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</si>
  <si>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</si>
  <si>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</si>
  <si>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</si>
  <si>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</si>
  <si>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</si>
  <si>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</si>
  <si>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</si>
  <si>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</si>
  <si>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</si>
  <si>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</si>
  <si>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</si>
  <si>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</si>
  <si>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</si>
  <si>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</si>
  <si>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</si>
  <si>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</si>
  <si>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</si>
  <si>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</si>
  <si>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</si>
  <si>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</si>
  <si>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</si>
  <si>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</si>
  <si>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</si>
  <si>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</si>
  <si>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</si>
  <si>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</si>
  <si>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</si>
  <si>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</si>
  <si>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</si>
  <si>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</si>
  <si>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</si>
  <si>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</si>
  <si>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</si>
  <si>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</si>
  <si>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</si>
  <si>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</si>
  <si>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</si>
  <si>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</si>
  <si>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</si>
  <si>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</si>
  <si>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</si>
  <si>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</si>
  <si>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</si>
  <si>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</si>
  <si>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</si>
  <si>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</si>
  <si>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</si>
  <si>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</si>
  <si>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</si>
  <si>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</si>
  <si>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</si>
  <si>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</si>
  <si>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</si>
  <si>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</si>
  <si>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</si>
  <si>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</si>
  <si>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</si>
  <si>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</si>
  <si>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</si>
  <si>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</si>
  <si>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</si>
  <si>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</si>
  <si>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</si>
  <si>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</si>
  <si>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</si>
  <si>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</si>
  <si>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</si>
  <si>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</si>
  <si>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</si>
  <si>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</si>
  <si>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</si>
  <si>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</si>
  <si>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</si>
  <si>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</si>
  <si>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</si>
  <si>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</si>
  <si>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</si>
  <si>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</si>
  <si>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</si>
  <si>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</si>
  <si>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</si>
  <si>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</si>
  <si>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</si>
  <si>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</si>
  <si>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</si>
  <si>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</si>
  <si>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</si>
  <si>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</si>
  <si>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</si>
  <si>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</si>
  <si>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</si>
  <si>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</si>
  <si>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</si>
  <si>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</si>
  <si>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</si>
  <si>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</si>
  <si>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</si>
  <si>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</si>
  <si>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</si>
  <si>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</si>
  <si>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</si>
  <si>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</si>
  <si>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</si>
  <si>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</si>
  <si>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</si>
  <si>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</si>
  <si>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</si>
  <si>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</si>
  <si>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</si>
  <si>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</si>
  <si>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</si>
  <si>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</si>
  <si>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</si>
  <si>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</si>
  <si>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</si>
  <si>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</si>
  <si>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</si>
  <si>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</si>
  <si>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</si>
  <si>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</si>
  <si>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</si>
  <si>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</si>
  <si>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</si>
  <si>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</si>
  <si>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</si>
  <si>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</si>
  <si>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</si>
  <si>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</si>
  <si>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</si>
  <si>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</si>
  <si>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</si>
  <si>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</si>
  <si>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</si>
  <si>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</si>
  <si>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</si>
  <si>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</si>
  <si>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</si>
  <si>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</si>
  <si>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</si>
  <si>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</si>
  <si>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</si>
  <si>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</si>
  <si>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</si>
  <si>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</si>
  <si>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</si>
  <si>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</si>
  <si>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</si>
  <si>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</si>
  <si>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</si>
  <si>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</si>
  <si>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</si>
  <si>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</si>
  <si>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</si>
  <si>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</si>
  <si>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</si>
  <si>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</si>
  <si>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</si>
  <si>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</si>
  <si>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</si>
  <si>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</si>
  <si>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</si>
  <si>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</si>
  <si>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</si>
  <si>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</si>
  <si>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</si>
  <si>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</si>
  <si>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</si>
  <si>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</si>
  <si>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</si>
  <si>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</si>
  <si>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</si>
  <si>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</si>
  <si>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</si>
  <si>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</si>
  <si>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</si>
  <si>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</si>
  <si>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</si>
  <si>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</si>
  <si>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</si>
  <si>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</si>
  <si>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</si>
  <si>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</si>
  <si>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</si>
  <si>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</si>
  <si>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</si>
  <si>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</si>
  <si>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</si>
  <si>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</si>
  <si>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</si>
  <si>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</si>
  <si>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</si>
  <si>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</si>
  <si>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</si>
  <si>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</si>
  <si>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</si>
  <si>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</si>
  <si>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</si>
  <si>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</si>
  <si>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</si>
  <si>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</si>
  <si>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</si>
  <si>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</si>
  <si>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</si>
  <si>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</si>
  <si>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</si>
  <si>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</si>
  <si>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</si>
  <si>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</si>
  <si>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</si>
  <si>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</si>
  <si>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</si>
  <si>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</si>
  <si>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</si>
  <si>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</si>
  <si>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</si>
  <si>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</si>
  <si>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</si>
  <si>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</si>
  <si>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</si>
  <si>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</si>
  <si>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</si>
  <si>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</si>
  <si>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</si>
  <si>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</si>
  <si>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</si>
  <si>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</si>
  <si>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</si>
  <si>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</si>
  <si>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</si>
  <si>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</si>
  <si>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</si>
  <si>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</si>
  <si>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</si>
  <si>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</si>
  <si>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</si>
  <si>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</si>
  <si>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</si>
  <si>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</si>
  <si>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</si>
  <si>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</si>
  <si>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</si>
  <si>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</si>
  <si>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</si>
  <si>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</si>
  <si>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</si>
  <si>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</si>
  <si>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</si>
  <si>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</si>
  <si>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</si>
  <si>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</si>
  <si>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</si>
  <si>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</si>
  <si>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</si>
  <si>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</si>
  <si>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</si>
  <si>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</si>
  <si>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</si>
  <si>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</si>
  <si>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</si>
  <si>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</si>
  <si>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</si>
  <si>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</si>
  <si>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</si>
  <si>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</si>
  <si>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</si>
  <si>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</si>
  <si>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</si>
  <si>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</si>
  <si>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</si>
  <si>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</si>
  <si>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</si>
  <si>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</si>
  <si>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</si>
  <si>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</si>
  <si>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</si>
  <si>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</si>
  <si>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</si>
  <si>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</si>
  <si>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</si>
  <si>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</si>
  <si>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</si>
  <si>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</si>
  <si>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</si>
  <si>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</si>
  <si>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</si>
  <si>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</si>
  <si>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</si>
  <si>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</si>
  <si>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</si>
  <si>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</si>
  <si>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</si>
  <si>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</si>
  <si>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</si>
  <si>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</si>
  <si>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</si>
  <si>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</si>
  <si>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</si>
  <si>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</si>
  <si>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</si>
  <si>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</si>
  <si>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</si>
  <si>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</si>
  <si>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</si>
  <si>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</si>
  <si>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</si>
  <si>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</si>
  <si>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</si>
  <si>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</si>
  <si>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</si>
  <si>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</si>
  <si>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</si>
  <si>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</si>
  <si>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</si>
  <si>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</si>
  <si>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</si>
  <si>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</si>
  <si>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</si>
  <si>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</si>
  <si>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</si>
  <si>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</si>
  <si>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</si>
  <si>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</si>
  <si>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</si>
  <si>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</si>
  <si>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</si>
  <si>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</si>
  <si>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</si>
  <si>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</si>
  <si>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</si>
  <si>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</si>
  <si>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</si>
  <si>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</si>
  <si>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</si>
  <si>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</si>
  <si>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</si>
  <si>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</si>
  <si>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</si>
  <si>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</si>
  <si>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</si>
  <si>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</si>
  <si>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</si>
  <si>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</si>
  <si>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</si>
  <si>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</si>
  <si>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</si>
  <si>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</si>
  <si>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</si>
  <si>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</si>
  <si>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</si>
  <si>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</si>
  <si>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</si>
  <si>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</si>
  <si>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</si>
  <si>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</si>
  <si>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</si>
  <si>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</si>
  <si>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</si>
  <si>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</si>
  <si>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</si>
  <si>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</si>
  <si>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</si>
  <si>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</si>
  <si>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</si>
  <si>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</si>
  <si>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</si>
  <si>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</si>
  <si>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</si>
  <si>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</si>
  <si>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</si>
  <si>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</si>
  <si>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</si>
  <si>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</si>
  <si>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</si>
  <si>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</si>
  <si>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</si>
  <si>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</si>
  <si>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</si>
  <si>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</si>
  <si>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</si>
  <si>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</si>
  <si>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</si>
  <si>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</si>
  <si>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</si>
  <si>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</si>
  <si>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</si>
  <si>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</si>
  <si>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</si>
  <si>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</si>
  <si>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</si>
  <si>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</si>
  <si>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</si>
  <si>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</si>
  <si>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</si>
  <si>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</si>
  <si>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</si>
  <si>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</si>
  <si>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</si>
  <si>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</si>
  <si>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</si>
  <si>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</si>
  <si>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</si>
  <si>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</si>
  <si>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</si>
  <si>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</si>
  <si>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</si>
  <si>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</si>
  <si>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</si>
  <si>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</si>
  <si>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</si>
  <si>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</si>
  <si>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</si>
  <si>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</si>
  <si>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</si>
  <si>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</si>
  <si>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</si>
  <si>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</si>
  <si>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</si>
  <si>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</si>
  <si>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</si>
  <si>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</si>
  <si>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</si>
  <si>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</si>
  <si>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</si>
  <si>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</si>
  <si>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</si>
  <si>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</si>
  <si>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</si>
  <si>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</si>
  <si>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</si>
  <si>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</si>
  <si>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</si>
  <si>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</si>
  <si>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</si>
  <si>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</si>
  <si>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</si>
  <si>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</si>
  <si>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</si>
  <si>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</si>
  <si>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</si>
  <si>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</si>
  <si>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</si>
  <si>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</si>
  <si>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</si>
  <si>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</si>
  <si>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</si>
  <si>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</si>
  <si>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</si>
  <si>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</si>
  <si>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</si>
  <si>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</si>
  <si>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</si>
  <si>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</si>
  <si>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</si>
  <si>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</si>
  <si>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</si>
  <si>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</si>
  <si>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</si>
  <si>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</si>
  <si>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</si>
  <si>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</si>
  <si>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</si>
  <si>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</si>
  <si>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</si>
  <si>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</si>
  <si>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</si>
  <si>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</si>
  <si>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</si>
  <si>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</si>
  <si>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</si>
  <si>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</si>
  <si>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</si>
  <si>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</si>
  <si>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</si>
  <si>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</si>
  <si>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</si>
  <si>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</si>
  <si>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</si>
  <si>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</si>
  <si>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</si>
  <si>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</si>
  <si>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</si>
  <si>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</si>
  <si>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</si>
  <si>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</si>
  <si>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</si>
  <si>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</si>
  <si>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</si>
  <si>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</si>
  <si>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</si>
  <si>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</si>
  <si>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</si>
  <si>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</si>
  <si>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</si>
  <si>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</si>
  <si>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</si>
  <si>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</si>
  <si>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</si>
  <si>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</si>
  <si>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</si>
  <si>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</si>
  <si>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</si>
  <si>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</si>
  <si>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</si>
  <si>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</si>
  <si>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</si>
  <si>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</si>
  <si>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</si>
  <si>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</si>
  <si>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</si>
  <si>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</si>
  <si>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</si>
  <si>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</si>
  <si>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</si>
  <si>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</si>
  <si>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</si>
  <si>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</si>
  <si>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</si>
  <si>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</si>
  <si>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</si>
  <si>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</si>
  <si>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</si>
  <si>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</si>
  <si>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</si>
  <si>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</si>
  <si>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</si>
  <si>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</si>
  <si>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</si>
  <si>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</si>
  <si>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</si>
  <si>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</si>
  <si>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</si>
  <si>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</si>
  <si>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</si>
  <si>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</si>
  <si>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</si>
  <si>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</si>
  <si>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</si>
  <si>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</si>
  <si>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</si>
  <si>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</si>
  <si>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</si>
  <si>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</si>
  <si>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</si>
  <si>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</si>
  <si>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</si>
  <si>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</si>
  <si>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</si>
  <si>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</si>
  <si>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</si>
  <si>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</si>
  <si>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</si>
  <si>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</si>
  <si>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</si>
  <si>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</si>
  <si>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</si>
  <si>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</si>
  <si>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</si>
  <si>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</si>
  <si>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</si>
  <si>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</si>
  <si>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</si>
  <si>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</si>
  <si>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</si>
  <si>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</si>
  <si>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</si>
  <si>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</si>
  <si>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</si>
  <si>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</si>
  <si>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</si>
  <si>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</si>
  <si>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</si>
  <si>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</si>
  <si>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</si>
  <si>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</si>
  <si>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</si>
  <si>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</si>
  <si>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</si>
  <si>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</si>
  <si>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</si>
  <si>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</si>
  <si>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</si>
  <si>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</si>
  <si>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</si>
  <si>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</si>
  <si>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</si>
  <si>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</si>
  <si>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</si>
  <si>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</si>
  <si>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</si>
  <si>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</si>
  <si>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</si>
  <si>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</si>
  <si>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</si>
  <si>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</si>
  <si>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</si>
  <si>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</si>
  <si>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</si>
  <si>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</si>
  <si>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</si>
  <si>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</si>
  <si>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</si>
  <si>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</si>
  <si>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</si>
  <si>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</si>
  <si>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</si>
  <si>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</si>
  <si>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</si>
  <si>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</si>
  <si>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</si>
  <si>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</si>
  <si>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</si>
  <si>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</si>
  <si>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</si>
  <si>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</si>
  <si>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</si>
  <si>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</si>
  <si>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</si>
  <si>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</si>
  <si>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</si>
  <si>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</si>
  <si>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</si>
  <si>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</si>
  <si>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</si>
  <si>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</si>
  <si>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</si>
  <si>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</si>
  <si>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</si>
  <si>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</si>
  <si>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</si>
  <si>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</si>
  <si>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</si>
  <si>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</si>
  <si>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</si>
  <si>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</si>
  <si>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</si>
  <si>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</si>
  <si>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</si>
  <si>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</si>
  <si>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</si>
  <si>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</si>
  <si>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</si>
  <si>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</si>
  <si>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</si>
  <si>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</si>
  <si>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</si>
  <si>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</si>
  <si>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</si>
  <si>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</si>
  <si>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</si>
  <si>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</si>
  <si>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</si>
  <si>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</si>
  <si>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</si>
  <si>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</si>
  <si>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</si>
  <si>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</si>
  <si>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</si>
  <si>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</si>
  <si>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</si>
  <si>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</si>
  <si>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</si>
  <si>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</si>
  <si>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</si>
  <si>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</si>
  <si>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</si>
  <si>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</si>
  <si>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</si>
  <si>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</si>
  <si>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</si>
  <si>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</si>
  <si>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</si>
  <si>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</si>
  <si>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</si>
  <si>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</si>
  <si>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</si>
  <si>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</si>
  <si>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</si>
  <si>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</si>
  <si>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</si>
  <si>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</si>
  <si>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</si>
  <si>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</si>
  <si>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</si>
  <si>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</si>
  <si>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</si>
  <si>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</si>
  <si>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</si>
  <si>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</si>
  <si>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</si>
  <si>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</si>
  <si>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</si>
  <si>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</si>
  <si>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</si>
  <si>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</si>
  <si>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</si>
  <si>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</si>
  <si>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</si>
  <si>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</si>
  <si>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</si>
  <si>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</si>
  <si>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</si>
  <si>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</si>
  <si>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</si>
  <si>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</si>
  <si>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</si>
  <si>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</si>
  <si>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</si>
  <si>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</si>
  <si>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</si>
  <si>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</si>
  <si>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</si>
  <si>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</si>
  <si>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</si>
  <si>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</si>
  <si>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</si>
  <si>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</si>
  <si>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</si>
  <si>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</si>
  <si>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</si>
  <si>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</si>
  <si>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</si>
  <si>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</si>
  <si>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</si>
  <si>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</si>
  <si>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</si>
  <si>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</si>
  <si>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</si>
  <si>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</si>
  <si>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</si>
  <si>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</si>
  <si>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</si>
  <si>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</si>
  <si>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</si>
  <si>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</si>
  <si>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</si>
  <si>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</si>
  <si>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</si>
  <si>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</si>
  <si>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</si>
  <si>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</si>
  <si>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</si>
  <si>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</si>
  <si>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</si>
  <si>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</si>
  <si>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</si>
  <si>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</si>
  <si>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</si>
  <si>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</si>
  <si>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</si>
  <si>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</si>
  <si>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</si>
  <si>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</si>
  <si>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</si>
  <si>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</si>
  <si>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</si>
  <si>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</si>
  <si>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</si>
  <si>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</si>
  <si>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</si>
  <si>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</si>
  <si>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</si>
  <si>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</si>
  <si>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</si>
  <si>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</si>
  <si>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</si>
  <si>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</si>
  <si>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</si>
  <si>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</si>
  <si>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</si>
  <si>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</si>
  <si>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</si>
  <si>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</si>
  <si>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</si>
  <si>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</si>
  <si>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</si>
  <si>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</si>
  <si>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</si>
  <si>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</si>
  <si>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</si>
  <si>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</si>
  <si>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</si>
  <si>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</si>
  <si>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</si>
  <si>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</si>
  <si>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</si>
  <si>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</si>
  <si>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</si>
  <si>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</si>
  <si>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</si>
  <si>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</si>
  <si>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</si>
  <si>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</si>
  <si>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</si>
  <si>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</si>
  <si>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</si>
  <si>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</si>
  <si>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</si>
  <si>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</si>
  <si>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</si>
  <si>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</si>
  <si>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</si>
  <si>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</si>
  <si>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</si>
  <si>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</si>
  <si>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</si>
  <si>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</si>
  <si>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</si>
  <si>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</si>
  <si>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</si>
  <si>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</si>
  <si>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</si>
  <si>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</si>
  <si>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</si>
  <si>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</si>
  <si>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</si>
  <si>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</si>
  <si>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</si>
  <si>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</si>
  <si>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</si>
  <si>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</si>
  <si>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</si>
  <si>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</si>
  <si>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</si>
  <si>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</si>
  <si>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</si>
  <si>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</si>
  <si>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</si>
  <si>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</si>
  <si>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</si>
  <si>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</si>
  <si>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</si>
  <si>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</si>
  <si>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</si>
  <si>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</si>
  <si>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</si>
  <si>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</si>
  <si>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</si>
  <si>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</si>
  <si>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</si>
  <si>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</si>
  <si>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</si>
  <si>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</si>
  <si>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</si>
  <si>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</si>
  <si>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</si>
  <si>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</si>
  <si>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</si>
  <si>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</si>
  <si>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</si>
  <si>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</si>
  <si>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</si>
  <si>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</si>
  <si>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</si>
  <si>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</si>
  <si>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</si>
  <si>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</si>
  <si>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</si>
  <si>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</si>
  <si>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</si>
  <si>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</si>
  <si>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</si>
  <si>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</si>
  <si>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</si>
  <si>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</si>
  <si>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</si>
  <si>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</si>
  <si>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</si>
  <si>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</si>
  <si>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</si>
  <si>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</si>
  <si>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</si>
  <si>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</si>
  <si>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</si>
  <si>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</si>
  <si>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</si>
  <si>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</si>
  <si>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</si>
  <si>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</si>
  <si>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</si>
  <si>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</si>
  <si>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</si>
  <si>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</si>
  <si>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</si>
  <si>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</si>
  <si>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</si>
  <si>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</si>
  <si>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</si>
  <si>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</si>
  <si>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</si>
  <si>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</si>
  <si>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</si>
  <si>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</si>
  <si>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</si>
  <si>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</si>
  <si>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</si>
  <si>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</si>
  <si>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</si>
  <si>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</si>
  <si>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</si>
  <si>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</si>
  <si>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</si>
  <si>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</si>
  <si>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</si>
  <si>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</si>
  <si>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</si>
  <si>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</si>
  <si>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</si>
  <si>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</si>
  <si>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</si>
  <si>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</si>
  <si>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</si>
  <si>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</si>
  <si>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</si>
  <si>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</si>
  <si>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</si>
  <si>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</si>
  <si>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</si>
  <si>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</si>
  <si>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</si>
  <si>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</si>
  <si>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</si>
  <si>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</si>
  <si>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</si>
  <si>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</si>
  <si>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</si>
  <si>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</si>
  <si>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</si>
  <si>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</si>
  <si>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</si>
  <si>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</si>
  <si>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</si>
  <si>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</si>
  <si>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</si>
  <si>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</si>
  <si>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</si>
  <si>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</si>
  <si>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</si>
  <si>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</si>
  <si>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</si>
  <si>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</si>
  <si>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</si>
  <si>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</si>
  <si>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</si>
  <si>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</si>
  <si>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</si>
  <si>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</si>
  <si>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</si>
  <si>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</si>
  <si>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</si>
  <si>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</si>
  <si>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</si>
  <si>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</si>
  <si>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</si>
  <si>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</si>
  <si>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</si>
  <si>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</si>
  <si>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</si>
  <si>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</si>
  <si>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</si>
  <si>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</si>
  <si>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</si>
  <si>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</si>
  <si>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</si>
  <si>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</si>
  <si>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</si>
  <si>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</si>
  <si>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</si>
  <si>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</si>
  <si>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</si>
  <si>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</si>
  <si>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</si>
  <si>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</si>
  <si>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</si>
  <si>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</si>
  <si>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</si>
  <si>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</si>
  <si>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</si>
  <si>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</si>
  <si>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</si>
  <si>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</si>
  <si>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</si>
  <si>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</si>
  <si>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</si>
  <si>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</si>
  <si>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</si>
  <si>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</si>
  <si>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</si>
  <si>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</si>
  <si>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</si>
  <si>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</si>
  <si>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</si>
  <si>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</si>
  <si>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</si>
  <si>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</si>
  <si>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</si>
  <si>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</si>
  <si>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</si>
  <si>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</si>
  <si>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</si>
  <si>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</si>
  <si>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</si>
  <si>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</si>
  <si>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</si>
  <si>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</si>
  <si>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</si>
  <si>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</si>
  <si>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</si>
  <si>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</si>
  <si>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</si>
  <si>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</si>
  <si>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</si>
  <si>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</si>
  <si>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</si>
  <si>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</si>
  <si>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</si>
  <si>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</si>
  <si>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</si>
  <si>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</si>
  <si>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</si>
  <si>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</si>
  <si>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</si>
  <si>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</si>
  <si>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</si>
  <si>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</si>
  <si>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</si>
  <si>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</si>
  <si>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</si>
  <si>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</si>
  <si>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</si>
  <si>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</si>
  <si>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</si>
  <si>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</si>
  <si>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</si>
  <si>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</si>
  <si>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</si>
  <si>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</si>
  <si>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</si>
  <si>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</si>
  <si>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</si>
  <si>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</si>
  <si>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</si>
  <si>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</si>
  <si>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</si>
  <si>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</si>
  <si>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</si>
  <si>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</si>
  <si>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</si>
  <si>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</si>
  <si>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</si>
  <si>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</si>
  <si>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</si>
  <si>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</si>
  <si>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</si>
  <si>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</si>
  <si>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</si>
  <si>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</si>
  <si>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</si>
  <si>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</si>
  <si>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</si>
  <si>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</si>
  <si>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</si>
  <si>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</si>
  <si>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</si>
  <si>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</si>
  <si>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</si>
  <si>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</si>
  <si>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</si>
  <si>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</si>
  <si>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</si>
  <si>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</si>
  <si>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</si>
  <si>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</si>
  <si>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</si>
  <si>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</si>
  <si>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</si>
  <si>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</si>
  <si>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</si>
  <si>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</si>
  <si>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</si>
  <si>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</si>
  <si>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</si>
  <si>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</si>
  <si>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</si>
  <si>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</si>
  <si>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</si>
  <si>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</si>
  <si>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</si>
  <si>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</si>
  <si>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</si>
  <si>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</si>
  <si>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</si>
  <si>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</si>
  <si>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</si>
  <si>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</si>
  <si>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</si>
  <si>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</si>
  <si>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</si>
  <si>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</si>
  <si>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</si>
  <si>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</si>
  <si>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</si>
  <si>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</si>
  <si>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</si>
  <si>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</si>
  <si>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</si>
  <si>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</si>
  <si>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</si>
  <si>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</si>
  <si>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</si>
  <si>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</si>
  <si>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</si>
  <si>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</si>
  <si>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</si>
  <si>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</si>
  <si>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</si>
  <si>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</si>
  <si>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</si>
  <si>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</si>
  <si>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</si>
  <si>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</si>
  <si>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</si>
  <si>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</si>
  <si>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</si>
  <si>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</si>
  <si>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</si>
  <si>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</si>
  <si>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</si>
  <si>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</si>
  <si>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</si>
  <si>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</si>
  <si>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</si>
  <si>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</si>
  <si>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</si>
  <si>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</si>
  <si>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</si>
  <si>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</si>
  <si>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</si>
  <si>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</si>
  <si>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</si>
  <si>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</si>
  <si>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</si>
  <si>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</si>
  <si>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</si>
  <si>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</si>
  <si>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</si>
  <si>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</si>
  <si>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</si>
  <si>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</si>
  <si>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</si>
  <si>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</si>
  <si>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</si>
  <si>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</si>
  <si>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</si>
  <si>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</si>
  <si>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</si>
  <si>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</si>
  <si>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</si>
  <si>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</si>
  <si>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</si>
  <si>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</si>
  <si>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</si>
  <si>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</si>
  <si>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</si>
  <si>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</si>
  <si>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</si>
  <si>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</si>
  <si>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</si>
  <si>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</si>
  <si>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</si>
  <si>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</si>
  <si>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</si>
  <si>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</si>
  <si>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</si>
  <si>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</si>
  <si>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</si>
  <si>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</si>
  <si>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</si>
  <si>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</si>
  <si>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</si>
  <si>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</si>
  <si>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</si>
  <si>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</si>
  <si>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</si>
  <si>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</si>
  <si>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</si>
  <si>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</si>
  <si>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</si>
  <si>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</si>
  <si>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</si>
  <si>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</si>
  <si>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</si>
  <si>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</si>
  <si>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</si>
  <si>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</si>
  <si>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</si>
  <si>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</si>
  <si>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</si>
  <si>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</si>
  <si>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</si>
  <si>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</si>
  <si>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</si>
  <si>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</si>
  <si>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</si>
  <si>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</si>
  <si>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</si>
  <si>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</si>
  <si>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</si>
  <si>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</si>
  <si>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</si>
  <si>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</si>
  <si>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</si>
  <si>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</si>
  <si>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</si>
  <si>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</si>
  <si>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</si>
  <si>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</si>
  <si>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</si>
  <si>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</si>
  <si>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</si>
  <si>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</si>
  <si>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</si>
  <si>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</si>
  <si>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</si>
  <si>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</si>
  <si>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</si>
  <si>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</si>
  <si>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</si>
  <si>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</si>
  <si>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</si>
  <si>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</si>
  <si>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</si>
  <si>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</si>
  <si>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</si>
  <si>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</si>
  <si>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</si>
  <si>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</si>
  <si>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</si>
  <si>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</si>
  <si>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</si>
  <si>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</si>
  <si>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</si>
  <si>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</si>
  <si>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</si>
  <si>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</si>
  <si>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</si>
  <si>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</si>
  <si>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</si>
  <si>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</si>
  <si>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</si>
  <si>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</si>
  <si>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</si>
  <si>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</si>
  <si>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</si>
  <si>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</si>
  <si>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</si>
  <si>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</si>
  <si>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</si>
  <si>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</si>
  <si>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</si>
  <si>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</si>
  <si>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</si>
  <si>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</si>
  <si>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</si>
  <si>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</si>
  <si>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</si>
  <si>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</si>
  <si>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</si>
  <si>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</si>
  <si>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</si>
  <si>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</si>
  <si>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</si>
  <si>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</si>
  <si>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</si>
  <si>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</si>
  <si>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</si>
  <si>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</si>
  <si>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</si>
  <si>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</si>
  <si>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</si>
  <si>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</si>
  <si>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</si>
  <si>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</si>
  <si>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</si>
  <si>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</si>
  <si>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</si>
  <si>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</si>
  <si>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</si>
  <si>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</si>
  <si>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</si>
  <si>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</si>
  <si>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</si>
  <si>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</si>
  <si>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</si>
  <si>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</si>
  <si>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</si>
  <si>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</si>
  <si>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</si>
  <si>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</si>
  <si>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</si>
  <si>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</si>
  <si>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</si>
  <si>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</si>
  <si>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</si>
  <si>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</si>
  <si>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</si>
  <si>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</si>
  <si>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</si>
  <si>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</si>
  <si>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</si>
  <si>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</si>
  <si>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</si>
  <si>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</si>
  <si>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</si>
  <si>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</si>
  <si>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</si>
  <si>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</si>
  <si>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</si>
  <si>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</si>
  <si>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</si>
  <si>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</si>
  <si>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</si>
  <si>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</si>
  <si>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</si>
  <si>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</si>
  <si>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</si>
  <si>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</si>
  <si>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</si>
  <si>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</si>
  <si>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</si>
  <si>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</si>
  <si>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</si>
  <si>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</si>
  <si>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</si>
  <si>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</si>
  <si>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</si>
  <si>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</si>
  <si>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</si>
  <si>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</si>
  <si>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</si>
  <si>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</si>
  <si>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</si>
  <si>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</si>
  <si>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</si>
  <si>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</si>
  <si>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</si>
  <si>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</si>
  <si>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</si>
  <si>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</si>
  <si>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</si>
  <si>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</si>
  <si>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</si>
  <si>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</si>
  <si>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</si>
  <si>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</si>
  <si>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</si>
  <si>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</si>
  <si>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</si>
  <si>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</si>
  <si>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</si>
  <si>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</si>
  <si>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</si>
  <si>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</si>
  <si>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</si>
  <si>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</si>
  <si>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</si>
  <si>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</si>
  <si>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</si>
  <si>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</si>
  <si>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</si>
  <si>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</si>
  <si>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</si>
  <si>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</si>
  <si>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</si>
  <si>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</si>
  <si>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</si>
  <si>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</si>
  <si>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</si>
  <si>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</si>
  <si>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</si>
  <si>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</si>
  <si>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</si>
  <si>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</si>
  <si>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</si>
  <si>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</si>
  <si>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</si>
  <si>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</si>
  <si>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</si>
  <si>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</si>
  <si>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</si>
  <si>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</si>
  <si>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</si>
  <si>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</si>
  <si>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</si>
  <si>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</si>
  <si>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</si>
  <si>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</si>
  <si>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</si>
  <si>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</si>
  <si>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</si>
  <si>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</si>
  <si>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</si>
  <si>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</si>
  <si>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</si>
  <si>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</si>
  <si>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</si>
  <si>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</si>
  <si>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</si>
  <si>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</si>
  <si>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</si>
  <si>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</si>
  <si>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</si>
  <si>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</si>
  <si>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</si>
  <si>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</si>
  <si>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</si>
  <si>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</si>
  <si>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</si>
  <si>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</si>
  <si>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</si>
  <si>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</si>
  <si>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</si>
  <si>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</si>
  <si>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</si>
  <si>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</si>
  <si>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</si>
  <si>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</si>
  <si>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</si>
  <si>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</si>
  <si>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</si>
  <si>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</si>
  <si>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</si>
  <si>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</si>
  <si>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</si>
  <si>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</si>
  <si>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</si>
  <si>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</si>
  <si>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</si>
  <si>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</si>
  <si>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</si>
  <si>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</si>
  <si>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</si>
  <si>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</si>
  <si>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</si>
  <si>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</si>
  <si>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</si>
  <si>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</si>
  <si>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</si>
  <si>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</si>
  <si>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</si>
  <si>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</si>
  <si>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</si>
  <si>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</si>
  <si>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</si>
  <si>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</si>
  <si>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</si>
  <si>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</si>
  <si>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</si>
  <si>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</si>
  <si>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</si>
  <si>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</si>
  <si>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</si>
  <si>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</si>
  <si>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</si>
  <si>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</si>
  <si>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</si>
  <si>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</si>
  <si>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</si>
  <si>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</si>
  <si>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</si>
  <si>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</si>
  <si>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</si>
  <si>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</si>
  <si>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</si>
  <si>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</si>
  <si>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</si>
  <si>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</si>
  <si>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</si>
  <si>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</si>
  <si>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</si>
  <si>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</si>
  <si>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</si>
  <si>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</si>
  <si>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</si>
  <si>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</si>
  <si>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</si>
  <si>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</si>
  <si>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</si>
  <si>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</si>
  <si>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</si>
  <si>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</si>
  <si>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</si>
  <si>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</si>
  <si>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</si>
  <si>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</si>
  <si>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</si>
  <si>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</si>
  <si>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</si>
  <si>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</si>
  <si>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</si>
  <si>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</si>
  <si>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</si>
  <si>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</si>
  <si>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</si>
  <si>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</si>
  <si>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</si>
  <si>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</si>
  <si>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</si>
  <si>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</si>
  <si>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</si>
  <si>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</si>
  <si>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</si>
  <si>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</si>
  <si>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</si>
  <si>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</si>
  <si>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</si>
  <si>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</si>
  <si>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</si>
  <si>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</si>
  <si>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</si>
  <si>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</si>
  <si>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</si>
  <si>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</si>
  <si>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</si>
  <si>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</si>
  <si>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</si>
  <si>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</si>
  <si>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</si>
  <si>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</si>
  <si>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</si>
  <si>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</si>
  <si>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</si>
  <si>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</si>
  <si>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</si>
  <si>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</si>
  <si>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</si>
  <si>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</si>
  <si>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</si>
  <si>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</si>
  <si>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</si>
  <si>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</si>
  <si>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</si>
  <si>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</si>
  <si>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</si>
  <si>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</si>
  <si>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</si>
  <si>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</si>
  <si>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</si>
  <si>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</si>
  <si>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</si>
  <si>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</si>
  <si>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</si>
  <si>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</si>
  <si>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</si>
  <si>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</si>
  <si>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</si>
  <si>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</si>
  <si>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</si>
  <si>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</si>
  <si>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</si>
  <si>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</si>
  <si>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</si>
  <si>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</si>
  <si>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</si>
  <si>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</si>
  <si>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</si>
  <si>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</si>
  <si>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</si>
  <si>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</si>
  <si>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</si>
  <si>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</si>
  <si>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</si>
  <si>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</si>
  <si>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</si>
  <si>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</si>
  <si>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</si>
  <si>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</si>
  <si>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</si>
  <si>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</si>
  <si>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</si>
  <si>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</si>
  <si>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</si>
  <si>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</si>
  <si>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</si>
  <si>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</si>
  <si>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</si>
  <si>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</si>
  <si>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</si>
  <si>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</si>
  <si>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</si>
  <si>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</si>
  <si>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</si>
  <si>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</si>
  <si>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</si>
  <si>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</si>
  <si>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</si>
  <si>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</si>
  <si>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</si>
  <si>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</si>
  <si>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</si>
  <si>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</si>
  <si>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</si>
  <si>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</si>
  <si>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</si>
  <si>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</si>
  <si>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</si>
  <si>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</si>
  <si>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</si>
  <si>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</si>
  <si>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</si>
  <si>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</si>
  <si>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</si>
  <si>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</si>
  <si>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</si>
  <si>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</si>
  <si>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</si>
  <si>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</si>
  <si>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</si>
  <si>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</si>
  <si>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</si>
  <si>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</si>
  <si>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</si>
  <si>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</si>
  <si>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</si>
  <si>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</si>
  <si>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</si>
  <si>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</si>
  <si>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</si>
  <si>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</si>
  <si>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</si>
  <si>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</si>
  <si>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</si>
  <si>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</si>
  <si>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</si>
  <si>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</si>
  <si>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</si>
  <si>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</si>
  <si>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</si>
  <si>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</si>
  <si>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</si>
  <si>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</si>
  <si>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</si>
  <si>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</si>
  <si>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</si>
  <si>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</si>
  <si>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</si>
  <si>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</si>
  <si>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</si>
  <si>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</si>
  <si>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</si>
  <si>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</si>
  <si>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</si>
  <si>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</si>
  <si>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</si>
  <si>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</si>
  <si>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</si>
  <si>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</si>
  <si>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</si>
  <si>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</si>
  <si>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</si>
  <si>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</si>
  <si>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</si>
  <si>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</si>
  <si>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</si>
  <si>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</si>
  <si>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</si>
  <si>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</si>
  <si>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</si>
  <si>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</si>
  <si>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</si>
  <si>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</si>
  <si>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</si>
  <si>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</si>
  <si>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</si>
  <si>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</si>
  <si>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</si>
  <si>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</si>
  <si>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</si>
  <si>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</si>
  <si>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</si>
  <si>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</si>
  <si>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</si>
  <si>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</si>
  <si>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</si>
  <si>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</si>
  <si>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</si>
  <si>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</si>
  <si>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</si>
  <si>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</si>
  <si>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</si>
  <si>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</si>
  <si>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</si>
  <si>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</si>
  <si>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</si>
  <si>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</si>
  <si>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</si>
  <si>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</si>
  <si>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</si>
  <si>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</si>
  <si>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</si>
  <si>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</si>
  <si>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</si>
  <si>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</si>
  <si>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</si>
  <si>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</si>
  <si>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</si>
  <si>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</si>
  <si>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</si>
  <si>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</si>
  <si>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</si>
  <si>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</si>
  <si>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</si>
  <si>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</si>
  <si>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</si>
  <si>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</si>
  <si>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</si>
  <si>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</si>
  <si>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</si>
  <si>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</si>
  <si>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</si>
  <si>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</si>
  <si>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</si>
  <si>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</si>
  <si>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</si>
  <si>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</si>
  <si>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</si>
  <si>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</si>
  <si>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</si>
  <si>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</si>
  <si>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</si>
  <si>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</si>
  <si>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</si>
  <si>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</si>
  <si>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</si>
  <si>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</si>
  <si>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</si>
  <si>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</si>
  <si>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</si>
  <si>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</si>
  <si>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</si>
  <si>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</si>
  <si>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</si>
  <si>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</si>
  <si>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</si>
  <si>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</si>
  <si>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</si>
  <si>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</si>
  <si>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</si>
  <si>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</si>
  <si>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</si>
  <si>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</si>
  <si>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</si>
  <si>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</si>
  <si>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</si>
  <si>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</si>
  <si>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</si>
  <si>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</si>
  <si>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</si>
  <si>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</si>
  <si>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</si>
  <si>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</si>
  <si>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</si>
  <si>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</si>
  <si>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</si>
  <si>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</si>
  <si>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</si>
  <si>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</si>
  <si>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</si>
  <si>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</si>
  <si>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</si>
  <si>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</si>
  <si>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</si>
  <si>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</si>
  <si>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</si>
  <si>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</si>
  <si>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</si>
  <si>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</si>
  <si>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</si>
  <si>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</si>
  <si>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</si>
  <si>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</si>
  <si>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</si>
  <si>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</si>
  <si>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</si>
  <si>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</si>
  <si>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</si>
  <si>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</si>
  <si>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</si>
  <si>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</si>
  <si>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</si>
  <si>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</si>
  <si>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</si>
  <si>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</si>
  <si>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</si>
  <si>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</si>
  <si>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</si>
  <si>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</si>
  <si>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</si>
  <si>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</si>
  <si>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</si>
  <si>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</si>
  <si>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</si>
  <si>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</si>
  <si>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</si>
  <si>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</si>
  <si>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</si>
  <si>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</si>
  <si>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</si>
  <si>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</si>
  <si>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</si>
  <si>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</si>
  <si>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</si>
  <si>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</si>
  <si>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</si>
  <si>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</si>
  <si>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</si>
  <si>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</si>
  <si>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</si>
  <si>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</si>
  <si>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</si>
  <si>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</si>
  <si>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</si>
  <si>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</si>
  <si>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</si>
  <si>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</si>
  <si>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</si>
  <si>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</si>
  <si>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</si>
  <si>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</si>
  <si>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</si>
  <si>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</si>
  <si>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</si>
  <si>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</si>
  <si>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</si>
  <si>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</si>
  <si>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</si>
  <si>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</si>
  <si>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</si>
  <si>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</si>
  <si>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</si>
  <si>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</si>
  <si>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</si>
  <si>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</si>
  <si>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</si>
  <si>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</si>
  <si>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</si>
  <si>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</si>
  <si>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</si>
  <si>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</si>
  <si>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</si>
  <si>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</si>
  <si>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</si>
  <si>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</si>
  <si>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</si>
  <si>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</si>
  <si>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</si>
  <si>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</si>
  <si>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</si>
  <si>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</si>
  <si>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</si>
  <si>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</si>
  <si>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</si>
  <si>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</si>
  <si>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</si>
  <si>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</si>
  <si>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</si>
  <si>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</si>
  <si>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</si>
  <si>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</si>
  <si>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</si>
  <si>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</si>
  <si>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</si>
  <si>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</si>
  <si>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</si>
  <si>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</si>
  <si>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</si>
  <si>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</si>
  <si>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</si>
  <si>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</si>
  <si>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</si>
  <si>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</si>
  <si>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</si>
  <si>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</si>
  <si>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</si>
  <si>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</si>
  <si>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</si>
  <si>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</si>
  <si>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</si>
  <si>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</si>
  <si>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</si>
  <si>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</si>
  <si>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</si>
  <si>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</si>
  <si>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</si>
  <si>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</si>
  <si>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</si>
  <si>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</si>
  <si>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</si>
  <si>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</si>
  <si>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</si>
  <si>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</si>
  <si>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</si>
  <si>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</si>
  <si>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</si>
  <si>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</si>
  <si>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</si>
  <si>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</si>
  <si>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</si>
  <si>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</si>
  <si>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</si>
  <si>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</si>
  <si>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</si>
  <si>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</si>
  <si>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</si>
  <si>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</si>
  <si>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</si>
  <si>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</si>
  <si>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</si>
  <si>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</si>
  <si>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</si>
  <si>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</si>
  <si>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</si>
  <si>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</si>
  <si>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</si>
  <si>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</si>
  <si>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</si>
  <si>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</si>
  <si>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</si>
  <si>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</si>
  <si>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</si>
  <si>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</si>
  <si>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</si>
  <si>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</si>
  <si>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</si>
  <si>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</si>
  <si>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</si>
  <si>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</si>
  <si>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</si>
  <si>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</si>
  <si>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</si>
  <si>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</si>
  <si>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</si>
  <si>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</si>
  <si>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</si>
  <si>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</si>
  <si>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</si>
  <si>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</si>
  <si>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</si>
  <si>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</si>
  <si>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</si>
  <si>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</si>
  <si>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</si>
  <si>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</si>
  <si>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</si>
  <si>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</si>
  <si>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</si>
  <si>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</si>
  <si>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</si>
  <si>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</si>
  <si>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</si>
  <si>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</si>
  <si>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</si>
  <si>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</si>
  <si>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</si>
  <si>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</si>
  <si>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</si>
  <si>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</si>
  <si>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</si>
  <si>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</si>
  <si>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</si>
  <si>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</si>
  <si>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</si>
  <si>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</si>
  <si>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</si>
  <si>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</si>
  <si>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</si>
  <si>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</si>
  <si>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</si>
  <si>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</si>
  <si>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</si>
  <si>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</si>
  <si>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</si>
  <si>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</si>
  <si>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</si>
  <si>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</si>
  <si>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</si>
  <si>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</si>
  <si>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</si>
  <si>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</si>
  <si>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</si>
  <si>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</si>
  <si>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</si>
  <si>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</si>
  <si>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</si>
  <si>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</si>
  <si>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</si>
  <si>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</si>
  <si>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</si>
  <si>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</si>
  <si>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</si>
  <si>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</si>
  <si>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</si>
  <si>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</si>
  <si>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</si>
  <si>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</si>
  <si>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</si>
  <si>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</si>
  <si>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</si>
  <si>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</si>
  <si>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</si>
  <si>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</si>
  <si>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</si>
  <si>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</si>
  <si>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</si>
  <si>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</si>
  <si>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</si>
  <si>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</si>
  <si>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</si>
  <si>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</si>
  <si>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</si>
  <si>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</si>
  <si>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</si>
  <si>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</si>
  <si>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</si>
  <si>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</si>
  <si>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</si>
  <si>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</si>
  <si>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</si>
  <si>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</si>
  <si>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</si>
  <si>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</si>
  <si>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</si>
  <si>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</si>
  <si>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</si>
  <si>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</si>
  <si>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</si>
  <si>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</si>
  <si>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</si>
  <si>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</si>
  <si>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</si>
  <si>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</si>
  <si>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</si>
  <si>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</si>
  <si>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</si>
  <si>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</si>
  <si>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</si>
  <si>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</si>
  <si>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</si>
  <si>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</si>
  <si>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</si>
  <si>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</si>
  <si>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</si>
  <si>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</si>
  <si>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</si>
  <si>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</si>
  <si>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</si>
  <si>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</si>
  <si>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</si>
  <si>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</si>
  <si>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</si>
  <si>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</si>
  <si>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</si>
  <si>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</si>
  <si>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</si>
  <si>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</si>
  <si>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</si>
  <si>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</si>
  <si>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</si>
  <si>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</si>
  <si>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</si>
  <si>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</si>
  <si>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</si>
  <si>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</si>
  <si>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</si>
  <si>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</si>
  <si>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</si>
  <si>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</si>
  <si>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</si>
  <si>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</si>
  <si>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</si>
  <si>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</si>
  <si>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</si>
  <si>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</si>
  <si>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</si>
  <si>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</si>
  <si>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</si>
  <si>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</si>
  <si>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</si>
  <si>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</si>
  <si>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</si>
  <si>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</si>
  <si>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</si>
  <si>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</si>
  <si>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</si>
  <si>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</si>
  <si>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</si>
  <si>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</si>
  <si>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</si>
  <si>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</si>
  <si>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</si>
  <si>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</si>
  <si>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</si>
  <si>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</si>
  <si>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</si>
  <si>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</si>
  <si>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</si>
  <si>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</si>
  <si>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</si>
  <si>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</si>
  <si>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</si>
  <si>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</si>
  <si>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</si>
  <si>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</si>
  <si>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</si>
  <si>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</si>
  <si>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</si>
  <si>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</si>
  <si>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</si>
  <si>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</si>
  <si>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</si>
  <si>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</si>
  <si>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</si>
  <si>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</si>
  <si>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</si>
  <si>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</si>
  <si>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</si>
  <si>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</si>
  <si>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</si>
  <si>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</si>
  <si>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</si>
  <si>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</si>
  <si>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</si>
  <si>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</si>
  <si>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</si>
  <si>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</si>
  <si>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</si>
  <si>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</si>
  <si>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</si>
  <si>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</si>
  <si>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</si>
  <si>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</si>
  <si>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</si>
  <si>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</si>
  <si>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</si>
  <si>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</si>
  <si>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</si>
  <si>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</si>
  <si>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</si>
  <si>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</si>
  <si>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</si>
  <si>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</si>
  <si>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</si>
  <si>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</si>
  <si>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</si>
  <si>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</si>
  <si>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</si>
  <si>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</si>
  <si>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</si>
  <si>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</si>
  <si>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</si>
  <si>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</si>
  <si>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</si>
  <si>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</si>
  <si>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</si>
  <si>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</si>
  <si>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</si>
  <si>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</si>
  <si>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</si>
  <si>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</si>
  <si>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</si>
  <si>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</si>
  <si>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</si>
  <si>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</si>
  <si>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</si>
  <si>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</si>
  <si>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</si>
  <si>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</si>
  <si>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</si>
  <si>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</si>
  <si>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</si>
  <si>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</si>
  <si>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</si>
  <si>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</si>
  <si>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</si>
  <si>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</si>
  <si>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</si>
  <si>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</si>
  <si>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</si>
  <si>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</si>
  <si>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</si>
  <si>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</si>
  <si>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</si>
  <si>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</si>
  <si>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</si>
  <si>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</si>
  <si>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</si>
  <si>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</si>
  <si>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</si>
  <si>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</si>
  <si>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</si>
  <si>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</si>
  <si>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</si>
  <si>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</si>
  <si>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</si>
  <si>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</si>
  <si>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</si>
  <si>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</si>
  <si>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</si>
  <si>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</si>
  <si>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</si>
  <si>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</si>
  <si>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</si>
  <si>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</si>
  <si>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</si>
  <si>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</si>
  <si>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</si>
  <si>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</si>
  <si>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</si>
  <si>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</si>
  <si>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</si>
  <si>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</si>
  <si>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</si>
  <si>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</si>
  <si>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</si>
  <si>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</si>
  <si>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</si>
  <si>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</si>
  <si>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</si>
  <si>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</si>
  <si>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</si>
  <si>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</si>
  <si>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</si>
  <si>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</si>
  <si>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</si>
  <si>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</si>
  <si>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</si>
  <si>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</si>
  <si>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</si>
  <si>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</si>
  <si>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</si>
  <si>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</si>
  <si>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</si>
  <si>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</si>
  <si>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</si>
  <si>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</si>
  <si>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</si>
  <si>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</si>
  <si>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</si>
  <si>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</si>
  <si>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</si>
  <si>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</si>
  <si>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</si>
  <si>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</si>
  <si>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</si>
  <si>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</si>
  <si>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</si>
  <si>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</si>
  <si>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</si>
  <si>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</si>
  <si>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</si>
  <si>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</si>
  <si>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</si>
  <si>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</si>
  <si>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</si>
  <si>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</si>
  <si>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</si>
  <si>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</si>
  <si>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</si>
  <si>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</si>
  <si>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</si>
  <si>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</si>
  <si>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</si>
  <si>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</si>
  <si>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</si>
  <si>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</si>
  <si>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</si>
  <si>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</si>
  <si>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</si>
  <si>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</si>
  <si>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</si>
  <si>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</si>
  <si>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</si>
  <si>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</si>
  <si>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</si>
  <si>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</si>
  <si>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</si>
  <si>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</si>
  <si>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</si>
  <si>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</si>
  <si>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</si>
  <si>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</si>
  <si>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</si>
  <si>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</si>
  <si>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</si>
  <si>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</si>
  <si>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</si>
  <si>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</si>
  <si>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</si>
  <si>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</si>
  <si>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</si>
  <si>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</si>
  <si>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</si>
  <si>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</si>
  <si>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</si>
  <si>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</si>
  <si>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</si>
  <si>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</si>
  <si>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</si>
  <si>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</si>
  <si>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</si>
  <si>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</si>
  <si>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</si>
  <si>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</si>
  <si>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</si>
  <si>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</si>
  <si>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</si>
  <si>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</si>
  <si>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</si>
  <si>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</si>
  <si>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</si>
  <si>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</si>
  <si>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</si>
  <si>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</si>
  <si>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</si>
  <si>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</si>
  <si>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</si>
  <si>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</si>
  <si>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</si>
  <si>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</si>
  <si>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</si>
  <si>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</si>
  <si>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</si>
  <si>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</si>
  <si>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</si>
  <si>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</si>
  <si>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</si>
  <si>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</si>
  <si>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</si>
  <si>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</si>
  <si>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</si>
  <si>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</si>
  <si>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</si>
  <si>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</si>
  <si>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</si>
  <si>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</si>
  <si>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</si>
  <si>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</si>
  <si>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</si>
  <si>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</si>
  <si>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</si>
  <si>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</si>
  <si>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</si>
  <si>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</si>
  <si>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</si>
  <si>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</si>
  <si>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</si>
  <si>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</si>
  <si>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</si>
  <si>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</si>
  <si>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</si>
  <si>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</si>
  <si>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</si>
  <si>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</si>
  <si>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</si>
  <si>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</si>
  <si>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</si>
  <si>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</si>
  <si>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</si>
  <si>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</si>
  <si>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</si>
  <si>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</si>
  <si>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</si>
  <si>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</si>
  <si>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</si>
  <si>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</si>
  <si>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</si>
  <si>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</si>
  <si>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</si>
  <si>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</si>
  <si>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</si>
  <si>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</si>
  <si>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</si>
  <si>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</si>
  <si>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</si>
  <si>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</si>
  <si>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</si>
  <si>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</si>
  <si>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</si>
  <si>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</si>
  <si>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</si>
  <si>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</si>
  <si>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</si>
  <si>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</si>
  <si>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</si>
  <si>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</si>
  <si>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</si>
  <si>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</si>
  <si>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</si>
  <si>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</si>
  <si>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</si>
  <si>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</si>
  <si>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</si>
  <si>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</si>
  <si>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</si>
  <si>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</si>
  <si>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</si>
  <si>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</si>
  <si>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</si>
  <si>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</si>
  <si>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</si>
  <si>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</si>
  <si>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</si>
  <si>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</si>
  <si>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</si>
  <si>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</si>
  <si>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</si>
  <si>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</si>
  <si>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</si>
  <si>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</si>
  <si>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</si>
  <si>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</si>
  <si>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</si>
  <si>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</si>
  <si>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</si>
  <si>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</si>
  <si>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</si>
  <si>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</si>
  <si>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</si>
  <si>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</si>
  <si>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</si>
  <si>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</si>
  <si>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</si>
  <si>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</si>
  <si>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</si>
  <si>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</si>
  <si>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</si>
  <si>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</si>
  <si>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</si>
  <si>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</si>
  <si>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</si>
  <si>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</si>
  <si>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</si>
  <si>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</si>
  <si>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</si>
  <si>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</si>
  <si>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</si>
  <si>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</si>
  <si>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</si>
  <si>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</si>
  <si>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</si>
  <si>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</si>
  <si>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</si>
  <si>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</si>
  <si>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</si>
  <si>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</si>
  <si>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</si>
  <si>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</si>
  <si>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</si>
  <si>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</si>
  <si>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</si>
  <si>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</si>
  <si>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</si>
  <si>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</si>
  <si>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</si>
  <si>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</si>
  <si>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</si>
  <si>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</si>
  <si>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</si>
  <si>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</si>
  <si>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</si>
  <si>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</si>
  <si>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</si>
  <si>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</si>
  <si>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</si>
  <si>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</si>
  <si>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</si>
  <si>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</si>
  <si>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</si>
  <si>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</si>
  <si>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</si>
  <si>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</si>
  <si>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</si>
  <si>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</si>
  <si>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</si>
  <si>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</si>
  <si>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</si>
  <si>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</si>
  <si>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</si>
  <si>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</si>
  <si>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</si>
  <si>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</si>
  <si>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</si>
  <si>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</si>
  <si>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</si>
  <si>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</si>
  <si>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</si>
  <si>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</si>
  <si>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</si>
  <si>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</si>
  <si>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</si>
  <si>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</si>
  <si>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</si>
  <si>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</si>
  <si>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</si>
  <si>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</si>
  <si>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</si>
  <si>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</si>
  <si>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</si>
  <si>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</si>
  <si>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</si>
  <si>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</si>
  <si>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</si>
  <si>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</si>
  <si>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</si>
  <si>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</si>
  <si>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</si>
  <si>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</si>
  <si>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</si>
  <si>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</si>
  <si>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</si>
  <si>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</si>
  <si>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</si>
  <si>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</si>
  <si>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</si>
  <si>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</si>
  <si>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</si>
  <si>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</si>
  <si>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</si>
  <si>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</si>
  <si>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</si>
  <si>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</si>
  <si>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</si>
  <si>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</si>
  <si>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</si>
  <si>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</si>
  <si>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</si>
  <si>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</si>
  <si>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</si>
  <si>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</si>
  <si>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</si>
  <si>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</si>
  <si>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</si>
  <si>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</si>
  <si>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</si>
  <si>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</si>
  <si>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</si>
  <si>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</si>
  <si>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</si>
  <si>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</si>
  <si>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</si>
  <si>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</si>
  <si>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</si>
  <si>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</si>
  <si>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</si>
  <si>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</si>
  <si>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</si>
  <si>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</si>
  <si>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</si>
  <si>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</si>
  <si>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</si>
  <si>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</si>
  <si>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</si>
  <si>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</si>
  <si>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</si>
  <si>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</si>
  <si>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</si>
  <si>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</si>
  <si>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</si>
  <si>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</si>
  <si>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</si>
  <si>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</si>
  <si>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</si>
  <si>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</si>
  <si>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</si>
  <si>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</si>
  <si>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</si>
  <si>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</si>
  <si>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</si>
  <si>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</si>
  <si>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</si>
  <si>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</si>
  <si>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</si>
  <si>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</si>
  <si>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</si>
  <si>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</si>
  <si>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</si>
  <si>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</si>
  <si>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</si>
  <si>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</si>
  <si>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</si>
  <si>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</si>
  <si>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</si>
  <si>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</si>
  <si>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</si>
  <si>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</si>
  <si>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</si>
  <si>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</si>
  <si>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</si>
  <si>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</si>
  <si>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</si>
  <si>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</si>
  <si>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</si>
  <si>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</si>
  <si>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</si>
  <si>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</si>
  <si>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</si>
  <si>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</si>
  <si>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</si>
  <si>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</si>
  <si>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</si>
  <si>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</si>
  <si>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</si>
  <si>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</si>
  <si>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</si>
  <si>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</si>
  <si>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</si>
  <si>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</si>
  <si>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</si>
  <si>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</si>
  <si>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</si>
  <si>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</si>
  <si>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</si>
  <si>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</si>
  <si>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</si>
  <si>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</si>
  <si>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</si>
  <si>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</si>
  <si>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</si>
  <si>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</si>
  <si>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</si>
  <si>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</si>
  <si>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</si>
  <si>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</si>
  <si>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</si>
  <si>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</si>
  <si>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</si>
  <si>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</si>
  <si>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</si>
  <si>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</si>
  <si>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</si>
  <si>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</si>
  <si>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</si>
  <si>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</si>
  <si>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</si>
  <si>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</si>
  <si>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</si>
  <si>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</si>
  <si>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</si>
  <si>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</si>
  <si>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</si>
  <si>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</si>
  <si>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</si>
  <si>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</si>
  <si>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</si>
  <si>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</si>
  <si>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</si>
  <si>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</si>
  <si>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</si>
  <si>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</si>
  <si>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</si>
  <si>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</si>
  <si>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</si>
  <si>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</si>
  <si>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</si>
  <si>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</si>
  <si>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</si>
  <si>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</si>
  <si>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</si>
  <si>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</si>
  <si>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</si>
  <si>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</si>
  <si>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</si>
  <si>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</si>
  <si>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</si>
  <si>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</si>
  <si>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</si>
  <si>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</si>
  <si>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</si>
  <si>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</si>
  <si>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</si>
  <si>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</si>
  <si>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</si>
  <si>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</si>
  <si>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</si>
  <si>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</si>
  <si>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</si>
  <si>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</si>
  <si>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</si>
  <si>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</si>
  <si>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</si>
  <si>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</si>
  <si>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</si>
  <si>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</si>
  <si>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</si>
  <si>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</si>
  <si>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</si>
  <si>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</si>
  <si>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</si>
  <si>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</si>
  <si>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</si>
  <si>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</si>
  <si>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</si>
  <si>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</si>
  <si>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</si>
  <si>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</si>
  <si>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</si>
  <si>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</si>
  <si>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</si>
  <si>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</si>
  <si>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</si>
  <si>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</si>
  <si>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</si>
  <si>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</si>
  <si>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</si>
  <si>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</si>
  <si>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</si>
  <si>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</si>
  <si>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</si>
  <si>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</si>
  <si>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</si>
  <si>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</si>
  <si>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</si>
  <si>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</si>
  <si>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</si>
  <si>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</si>
  <si>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</si>
  <si>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</si>
  <si>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</si>
  <si>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</si>
  <si>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</si>
  <si>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</si>
  <si>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</si>
  <si>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</si>
  <si>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</si>
  <si>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</si>
  <si>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</si>
  <si>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</si>
  <si>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</si>
  <si>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</si>
  <si>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</si>
  <si>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</si>
  <si>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</si>
  <si>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</si>
  <si>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</si>
  <si>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</si>
  <si>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</si>
  <si>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</si>
  <si>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</si>
  <si>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</si>
  <si>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</si>
  <si>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</si>
  <si>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</si>
  <si>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</si>
  <si>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</si>
  <si>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</si>
  <si>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</si>
  <si>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</si>
  <si>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</si>
  <si>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</si>
  <si>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</si>
  <si>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</si>
  <si>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</si>
  <si>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</si>
  <si>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</si>
  <si>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</si>
  <si>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</si>
  <si>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</si>
  <si>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</si>
  <si>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</si>
  <si>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</si>
  <si>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</si>
  <si>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</si>
  <si>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</si>
  <si>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</si>
  <si>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</si>
  <si>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</si>
  <si>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</si>
  <si>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</si>
  <si>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</si>
  <si>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</si>
  <si>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</si>
  <si>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</si>
  <si>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</si>
  <si>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</si>
  <si>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</si>
  <si>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</si>
  <si>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</si>
  <si>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</si>
  <si>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</si>
  <si>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</si>
  <si>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</si>
  <si>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</si>
  <si>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</si>
  <si>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</si>
  <si>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</si>
  <si>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</si>
  <si>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</si>
  <si>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</si>
  <si>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</si>
  <si>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</si>
  <si>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</si>
  <si>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</si>
  <si>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</si>
  <si>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</si>
  <si>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</si>
  <si>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</si>
  <si>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</si>
  <si>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</si>
  <si>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</si>
  <si>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</si>
  <si>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</si>
  <si>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</si>
  <si>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</si>
  <si>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</si>
  <si>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</si>
  <si>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</si>
  <si>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</si>
  <si>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</si>
  <si>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</si>
  <si>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</si>
  <si>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</si>
  <si>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</si>
  <si>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</si>
  <si>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</si>
  <si>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</si>
  <si>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</si>
  <si>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</si>
  <si>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</si>
  <si>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</si>
  <si>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</si>
  <si>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</si>
  <si>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</si>
  <si>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</si>
  <si>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</si>
  <si>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</si>
  <si>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</si>
  <si>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</si>
  <si>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</si>
  <si>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</si>
  <si>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</si>
  <si>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</si>
  <si>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</si>
  <si>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</si>
  <si>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</si>
  <si>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</si>
  <si>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</si>
  <si>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</si>
  <si>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</si>
  <si>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</si>
  <si>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</si>
  <si>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</si>
  <si>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</si>
  <si>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</si>
  <si>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</si>
  <si>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</si>
  <si>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</si>
  <si>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</si>
  <si>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</si>
  <si>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</si>
  <si>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</si>
  <si>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</si>
  <si>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</si>
  <si>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</si>
  <si>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</si>
  <si>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</si>
  <si>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</si>
  <si>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</si>
  <si>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</si>
  <si>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</si>
  <si>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</si>
  <si>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</si>
  <si>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</si>
  <si>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</si>
  <si>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</si>
  <si>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</si>
  <si>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</si>
  <si>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</si>
  <si>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</si>
  <si>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</si>
  <si>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</si>
  <si>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</si>
  <si>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</si>
  <si>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</si>
  <si>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</si>
  <si>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</si>
  <si>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</si>
  <si>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</si>
  <si>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</si>
  <si>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</si>
  <si>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</si>
  <si>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</si>
  <si>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</si>
  <si>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</si>
  <si>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</si>
  <si>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</si>
  <si>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</si>
  <si>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</si>
  <si>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</si>
  <si>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</si>
  <si>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</si>
  <si>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</si>
  <si>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</si>
  <si>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</si>
  <si>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</si>
  <si>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</si>
  <si>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</si>
  <si>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</si>
  <si>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</si>
  <si>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</si>
  <si>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</si>
  <si>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</si>
  <si>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</si>
  <si>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</si>
  <si>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</si>
  <si>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</si>
  <si>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</si>
  <si>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</si>
  <si>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</si>
  <si>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</si>
  <si>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</si>
  <si>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</si>
  <si>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</si>
  <si>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</si>
  <si>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</si>
  <si>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</si>
  <si>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</si>
  <si>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</si>
  <si>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</si>
  <si>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</si>
  <si>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</si>
  <si>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</si>
  <si>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</si>
  <si>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</si>
  <si>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</si>
  <si>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</si>
  <si>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</si>
  <si>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</si>
  <si>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</si>
  <si>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</si>
  <si>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</si>
  <si>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</si>
  <si>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</si>
  <si>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</si>
  <si>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</si>
  <si>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</si>
  <si>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</si>
  <si>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</si>
  <si>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</si>
  <si>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</si>
  <si>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</si>
  <si>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</si>
  <si>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</si>
  <si>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</si>
  <si>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</si>
  <si>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</si>
  <si>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</si>
  <si>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</si>
  <si>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</si>
  <si>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</si>
  <si>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</si>
  <si>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</si>
  <si>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</si>
  <si>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</si>
  <si>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</si>
  <si>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</si>
  <si>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</si>
  <si>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</si>
  <si>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</si>
  <si>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</si>
  <si>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</si>
  <si>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</si>
  <si>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</si>
  <si>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</si>
  <si>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</si>
  <si>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</si>
  <si>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</si>
  <si>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</si>
  <si>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</si>
  <si>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</si>
  <si>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</si>
  <si>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</si>
  <si>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</si>
  <si>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</si>
  <si>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</si>
  <si>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</si>
  <si>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</si>
  <si>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</si>
  <si>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</si>
  <si>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</si>
  <si>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</si>
  <si>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</si>
  <si>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</si>
  <si>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</si>
  <si>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</si>
  <si>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</si>
  <si>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</si>
  <si>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</si>
  <si>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</si>
  <si>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</si>
  <si>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</si>
  <si>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</si>
  <si>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</si>
  <si>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</si>
  <si>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</si>
  <si>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</si>
  <si>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</si>
  <si>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</si>
  <si>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</si>
  <si>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</si>
  <si>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</si>
  <si>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</si>
  <si>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</si>
  <si>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</si>
  <si>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</si>
  <si>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</si>
  <si>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</si>
  <si>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</si>
  <si>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</si>
  <si>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</si>
  <si>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</si>
  <si>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</si>
  <si>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</si>
  <si>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</si>
  <si>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</si>
  <si>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</si>
  <si>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</si>
  <si>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</si>
  <si>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</si>
  <si>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</si>
  <si>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</si>
  <si>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</si>
  <si>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</si>
  <si>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</si>
  <si>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</si>
  <si>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</si>
  <si>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</si>
  <si>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</si>
  <si>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</si>
  <si>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</si>
  <si>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</si>
  <si>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</si>
  <si>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</si>
  <si>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</si>
  <si>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</si>
  <si>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</si>
  <si>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</si>
  <si>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</si>
  <si>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</si>
  <si>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</si>
  <si>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</si>
  <si>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</si>
  <si>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</si>
  <si>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</si>
  <si>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</si>
  <si>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</si>
  <si>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</si>
  <si>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</si>
  <si>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</si>
  <si>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</si>
  <si>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</si>
  <si>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</si>
  <si>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</si>
  <si>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</si>
  <si>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</si>
  <si>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</si>
  <si>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</si>
  <si>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</si>
  <si>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</si>
  <si>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</si>
  <si>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</si>
  <si>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</si>
  <si>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</si>
  <si>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</si>
  <si>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</si>
  <si>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</si>
  <si>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</si>
  <si>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</si>
  <si>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</si>
  <si>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</si>
  <si>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</si>
  <si>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</si>
  <si>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</si>
  <si>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</si>
  <si>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</si>
  <si>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</si>
  <si>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</si>
  <si>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</si>
  <si>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</si>
  <si>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</si>
  <si>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</si>
  <si>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</si>
  <si>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</si>
  <si>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</si>
  <si>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</si>
  <si>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</si>
  <si>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</si>
  <si>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</si>
  <si>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</si>
  <si>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</si>
  <si>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</si>
  <si>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</si>
  <si>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</si>
  <si>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</si>
  <si>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</si>
  <si>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</si>
  <si>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</si>
  <si>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</si>
  <si>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</si>
  <si>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</si>
  <si>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</si>
  <si>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</si>
  <si>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</si>
  <si>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</si>
  <si>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</si>
  <si>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</si>
  <si>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</si>
  <si>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</si>
  <si>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</si>
  <si>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</si>
  <si>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</si>
  <si>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</si>
  <si>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</si>
  <si>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</si>
  <si>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</si>
  <si>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</si>
  <si>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</si>
  <si>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</si>
  <si>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</si>
  <si>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</si>
  <si>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</si>
  <si>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</si>
  <si>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</si>
  <si>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</si>
  <si>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</si>
  <si>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</si>
  <si>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</si>
  <si>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</si>
  <si>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</si>
  <si>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</si>
  <si>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</si>
  <si>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</si>
  <si>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</si>
  <si>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</si>
  <si>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</si>
  <si>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</si>
  <si>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</si>
  <si>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</si>
  <si>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</si>
  <si>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</si>
  <si>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</si>
  <si>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</si>
  <si>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</si>
  <si>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</si>
  <si>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</si>
  <si>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</si>
  <si>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</si>
  <si>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</si>
  <si>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</si>
  <si>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</si>
  <si>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</si>
  <si>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</si>
  <si>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</si>
  <si>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</si>
  <si>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</si>
  <si>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</si>
  <si>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</si>
  <si>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</si>
  <si>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</si>
  <si>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</si>
  <si>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</si>
  <si>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</si>
  <si>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</si>
  <si>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</si>
  <si>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</si>
  <si>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</si>
  <si>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</si>
  <si>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</si>
  <si>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</si>
  <si>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</si>
  <si>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</si>
  <si>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</si>
  <si>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</si>
  <si>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</si>
  <si>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</si>
  <si>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</si>
  <si>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</si>
  <si>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</si>
  <si>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</si>
  <si>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</si>
  <si>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</si>
  <si>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</si>
  <si>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</si>
  <si>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</si>
  <si>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</si>
  <si>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</si>
  <si>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</si>
  <si>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</si>
  <si>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</si>
  <si>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</si>
  <si>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</si>
  <si>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</si>
  <si>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</si>
  <si>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</si>
  <si>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</si>
  <si>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</si>
  <si>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</si>
  <si>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</si>
  <si>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</si>
  <si>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</si>
  <si>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</si>
  <si>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</si>
  <si>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</si>
  <si>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</si>
  <si>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</si>
  <si>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</si>
  <si>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</si>
  <si>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</si>
  <si>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</si>
  <si>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</si>
  <si>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</si>
  <si>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</si>
  <si>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</si>
  <si>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</si>
  <si>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</si>
  <si>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</si>
  <si>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</si>
  <si>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</si>
  <si>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</si>
  <si>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</si>
  <si>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</si>
  <si>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</si>
  <si>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</si>
  <si>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</si>
  <si>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</si>
  <si>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</si>
  <si>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</si>
  <si>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</si>
  <si>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</si>
  <si>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</si>
  <si>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</si>
  <si>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</si>
  <si>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</si>
  <si>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</si>
  <si>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</si>
  <si>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</si>
  <si>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</si>
  <si>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</si>
  <si>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</si>
  <si>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</si>
  <si>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</si>
  <si>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</si>
  <si>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</si>
  <si>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</si>
  <si>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</si>
  <si>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</si>
  <si>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</si>
  <si>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</si>
  <si>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</si>
  <si>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</si>
  <si>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</si>
  <si>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</si>
  <si>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</si>
  <si>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</si>
  <si>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</si>
  <si>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</si>
  <si>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</si>
  <si>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</si>
  <si>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</si>
  <si>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</si>
  <si>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</si>
  <si>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</si>
  <si>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</si>
  <si>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</si>
  <si>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</si>
  <si>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</si>
  <si>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</si>
  <si>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</si>
  <si>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</si>
  <si>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</si>
  <si>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</si>
  <si>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</si>
  <si>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</si>
  <si>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</si>
  <si>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</si>
  <si>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</si>
  <si>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</si>
  <si>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</si>
  <si>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</si>
  <si>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</si>
  <si>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</si>
  <si>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</si>
  <si>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</si>
  <si>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</si>
  <si>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</si>
  <si>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</si>
  <si>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</si>
  <si>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</si>
  <si>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</si>
  <si>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</si>
  <si>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</si>
  <si>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</si>
  <si>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</si>
  <si>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</si>
  <si>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</si>
  <si>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</si>
  <si>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</si>
  <si>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</si>
  <si>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</si>
  <si>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</si>
  <si>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</si>
  <si>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</si>
  <si>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</si>
  <si>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</si>
  <si>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</si>
  <si>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</si>
  <si>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</si>
  <si>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</si>
  <si>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</si>
  <si>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</si>
  <si>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</si>
  <si>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</si>
  <si>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</si>
  <si>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</si>
  <si>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</si>
  <si>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</si>
  <si>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</si>
  <si>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</si>
  <si>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</si>
  <si>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</si>
  <si>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</si>
  <si>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</si>
  <si>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</si>
  <si>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</si>
  <si>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</si>
  <si>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</si>
  <si>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</si>
  <si>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</si>
  <si>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</si>
  <si>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</si>
  <si>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</si>
  <si>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</si>
  <si>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</si>
  <si>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</si>
  <si>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</si>
  <si>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</si>
  <si>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</si>
  <si>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</si>
  <si>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</si>
  <si>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</si>
  <si>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</si>
  <si>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</si>
  <si>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</si>
  <si>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</si>
  <si>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</si>
  <si>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</si>
  <si>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</si>
  <si>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</si>
  <si>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</si>
  <si>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</si>
  <si>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</si>
  <si>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</si>
  <si>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</si>
  <si>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</si>
  <si>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</si>
  <si>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</si>
  <si>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</si>
  <si>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</si>
  <si>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</si>
  <si>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</si>
  <si>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</si>
  <si>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</si>
  <si>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</si>
  <si>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</si>
  <si>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</si>
  <si>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</si>
  <si>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</si>
  <si>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</si>
  <si>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</si>
  <si>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</si>
  <si>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</si>
  <si>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</si>
  <si>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</si>
  <si>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</si>
  <si>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</si>
  <si>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</si>
  <si>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</si>
  <si>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</si>
  <si>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</si>
  <si>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</si>
  <si>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</si>
  <si>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</si>
  <si>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</si>
  <si>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</si>
  <si>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</si>
  <si>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</si>
  <si>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</si>
  <si>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</si>
  <si>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</si>
  <si>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</si>
  <si>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</si>
  <si>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</si>
  <si>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</si>
  <si>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</si>
  <si>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</si>
  <si>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</si>
  <si>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</si>
  <si>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</si>
  <si>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</si>
  <si>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</si>
  <si>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</si>
  <si>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</si>
  <si>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</si>
  <si>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</si>
  <si>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</si>
  <si>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</si>
  <si>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</si>
  <si>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</si>
  <si>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</si>
  <si>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</si>
  <si>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</si>
  <si>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</si>
  <si>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</si>
  <si>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</si>
  <si>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</si>
  <si>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</si>
  <si>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</si>
  <si>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</si>
  <si>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</si>
  <si>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</si>
  <si>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</si>
  <si>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</si>
  <si>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</si>
  <si>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</si>
  <si>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</si>
  <si>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</si>
  <si>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</si>
  <si>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</si>
  <si>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</si>
  <si>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</si>
  <si>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</si>
  <si>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</si>
  <si>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</si>
  <si>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</si>
  <si>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</si>
  <si>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</si>
  <si>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</si>
  <si>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</si>
  <si>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</si>
  <si>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</si>
  <si>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</si>
  <si>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</si>
  <si>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</si>
  <si>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</si>
  <si>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</si>
  <si>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</si>
  <si>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</si>
  <si>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</si>
  <si>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</si>
  <si>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</si>
  <si>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</si>
  <si>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</si>
  <si>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</si>
  <si>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</si>
  <si>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</si>
  <si>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</si>
  <si>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</si>
  <si>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</si>
  <si>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</si>
  <si>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</si>
  <si>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</si>
  <si>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</si>
  <si>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</si>
  <si>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</si>
  <si>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</si>
  <si>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</si>
  <si>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</si>
  <si>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</si>
  <si>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</si>
  <si>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</si>
  <si>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</si>
  <si>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</si>
  <si>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</si>
  <si>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</si>
  <si>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</si>
  <si>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</si>
  <si>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</si>
  <si>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</si>
  <si>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</si>
  <si>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</si>
  <si>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</si>
  <si>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</si>
  <si>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</si>
  <si>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</si>
  <si>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</si>
  <si>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</si>
  <si>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</si>
  <si>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</si>
  <si>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</si>
  <si>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</si>
  <si>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</si>
  <si>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</si>
  <si>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</si>
  <si>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</si>
  <si>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</si>
  <si>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</si>
  <si>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</si>
  <si>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</si>
  <si>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</si>
  <si>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</si>
  <si>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</si>
  <si>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</si>
  <si>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</si>
  <si>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</si>
  <si>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</si>
  <si>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</si>
  <si>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</si>
  <si>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</si>
  <si>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</si>
  <si>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</si>
  <si>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</si>
  <si>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</si>
  <si>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</si>
  <si>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</si>
  <si>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</si>
  <si>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</si>
  <si>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</si>
  <si>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</si>
  <si>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</si>
  <si>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</si>
  <si>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</si>
  <si>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</si>
  <si>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</si>
  <si>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</si>
  <si>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</si>
  <si>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</si>
  <si>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</si>
  <si>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</si>
  <si>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</si>
  <si>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</si>
  <si>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</si>
  <si>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</si>
  <si>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</si>
  <si>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</si>
  <si>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</si>
  <si>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</si>
  <si>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</si>
  <si>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</si>
  <si>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</si>
  <si>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</si>
  <si>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</si>
  <si>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</si>
  <si>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</si>
  <si>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</si>
  <si>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</si>
  <si>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</si>
  <si>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</si>
  <si>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</si>
  <si>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</si>
  <si>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</si>
  <si>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</si>
  <si>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</si>
  <si>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</si>
  <si>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</si>
  <si>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</si>
  <si>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</si>
  <si>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</si>
  <si>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</si>
  <si>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</si>
  <si>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</si>
  <si>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</si>
  <si>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</si>
  <si>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</si>
  <si>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</si>
  <si>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</si>
  <si>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</si>
  <si>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</si>
  <si>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</si>
  <si>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</si>
  <si>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</si>
  <si>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</si>
  <si>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</si>
  <si>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</si>
  <si>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</si>
  <si>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</si>
  <si>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</si>
  <si>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</si>
  <si>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</si>
  <si>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</si>
  <si>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</si>
  <si>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</si>
  <si>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</si>
  <si>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</si>
  <si>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</si>
  <si>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</si>
  <si>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</si>
  <si>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</si>
  <si>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</si>
  <si>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</si>
  <si>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</si>
  <si>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</si>
  <si>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</si>
  <si>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</si>
  <si>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</si>
  <si>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</si>
  <si>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</si>
  <si>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</si>
  <si>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</si>
  <si>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</si>
  <si>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</si>
  <si>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</si>
  <si>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</si>
  <si>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</si>
  <si>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</si>
  <si>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</si>
  <si>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</si>
  <si>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</si>
  <si>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</si>
  <si>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</si>
  <si>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</si>
  <si>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</si>
  <si>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</si>
  <si>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</si>
  <si>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</si>
  <si>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</si>
  <si>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</si>
  <si>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</si>
  <si>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</si>
  <si>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</si>
  <si>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</si>
  <si>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</si>
  <si>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</si>
  <si>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</si>
  <si>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</si>
  <si>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</si>
  <si>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</si>
  <si>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</si>
  <si>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</si>
  <si>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</si>
  <si>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</si>
  <si>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</si>
  <si>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</si>
  <si>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</si>
  <si>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</si>
  <si>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</si>
  <si>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</si>
  <si>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</si>
  <si>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</si>
  <si>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</si>
  <si>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</si>
  <si>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</si>
  <si>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</si>
  <si>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</si>
  <si>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</si>
  <si>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</si>
  <si>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</si>
  <si>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</si>
  <si>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</si>
  <si>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</si>
  <si>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</si>
  <si>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</si>
  <si>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</si>
  <si>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</si>
  <si>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</si>
  <si>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</si>
  <si>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</si>
  <si>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</si>
  <si>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</si>
  <si>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</si>
  <si>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</si>
  <si>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</si>
  <si>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</si>
  <si>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</si>
  <si>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</si>
  <si>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</si>
  <si>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</si>
  <si>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</si>
  <si>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</si>
  <si>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</si>
  <si>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</si>
  <si>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</si>
  <si>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</si>
  <si>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</si>
  <si>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</si>
  <si>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</si>
  <si>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</si>
  <si>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</si>
  <si>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</si>
  <si>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</si>
  <si>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</si>
  <si>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</si>
  <si>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</si>
  <si>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</si>
  <si>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</si>
  <si>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</si>
  <si>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</si>
  <si>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</si>
  <si>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</si>
  <si>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</si>
  <si>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</si>
  <si>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</si>
  <si>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</si>
  <si>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</si>
  <si>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</si>
  <si>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</si>
  <si>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</si>
  <si>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</si>
  <si>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</si>
  <si>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</si>
  <si>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</si>
  <si>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</si>
  <si>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</si>
  <si>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</si>
  <si>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</si>
  <si>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</si>
  <si>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</si>
  <si>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</si>
  <si>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</si>
  <si>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</si>
  <si>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</si>
  <si>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</si>
  <si>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</si>
  <si>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</si>
  <si>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</si>
  <si>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</si>
  <si>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</si>
  <si>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</si>
  <si>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</si>
  <si>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</si>
  <si>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</si>
  <si>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</si>
  <si>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</si>
  <si>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</si>
  <si>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</si>
  <si>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</si>
  <si>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</si>
  <si>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</si>
  <si>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</si>
  <si>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</si>
  <si>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</si>
  <si>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</si>
  <si>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</si>
  <si>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</si>
  <si>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</si>
  <si>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</si>
  <si>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</si>
  <si>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</si>
  <si>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</si>
  <si>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</si>
  <si>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</si>
  <si>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</si>
  <si>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</si>
  <si>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</si>
  <si>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</si>
  <si>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</si>
  <si>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</si>
  <si>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</si>
  <si>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</si>
  <si>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</si>
  <si>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</si>
  <si>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</si>
  <si>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</si>
  <si>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</si>
  <si>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</si>
  <si>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</si>
  <si>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</si>
  <si>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</si>
  <si>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</si>
  <si>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</si>
  <si>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</si>
  <si>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</si>
  <si>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</si>
  <si>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</si>
  <si>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</si>
  <si>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</si>
  <si>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</si>
  <si>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</si>
  <si>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</si>
  <si>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</si>
  <si>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</si>
  <si>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</si>
  <si>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</si>
  <si>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</si>
  <si>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</si>
  <si>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</si>
  <si>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</si>
  <si>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</si>
  <si>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</si>
  <si>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</si>
  <si>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</si>
  <si>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</si>
  <si>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</si>
  <si>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</si>
  <si>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</si>
  <si>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</si>
  <si>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</si>
  <si>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</si>
  <si>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</si>
  <si>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</si>
  <si>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</si>
  <si>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</si>
  <si>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</si>
  <si>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</si>
  <si>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</si>
  <si>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</si>
  <si>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</si>
  <si>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</si>
  <si>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</si>
  <si>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</si>
  <si>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</si>
  <si>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</si>
  <si>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</si>
  <si>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</si>
  <si>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</si>
  <si>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</si>
  <si>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</si>
  <si>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</si>
  <si>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</si>
  <si>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</si>
  <si>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</si>
  <si>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</si>
  <si>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</si>
  <si>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</si>
  <si>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</si>
  <si>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</si>
  <si>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</si>
  <si>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</si>
  <si>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</si>
  <si>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</si>
  <si>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</si>
  <si>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</si>
  <si>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</si>
  <si>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</si>
  <si>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</si>
  <si>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</si>
  <si>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</si>
  <si>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</si>
  <si>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</si>
  <si>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</si>
  <si>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</si>
  <si>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</si>
  <si>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</si>
  <si>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</si>
  <si>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</si>
  <si>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</si>
  <si>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</si>
  <si>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</si>
  <si>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</si>
  <si>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</si>
  <si>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</si>
  <si>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</si>
  <si>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</si>
  <si>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</si>
  <si>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</si>
  <si>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</si>
  <si>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</si>
  <si>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</si>
  <si>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</si>
  <si>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</si>
  <si>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</si>
  <si>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</si>
  <si>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</si>
  <si>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</si>
  <si>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</si>
  <si>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</si>
  <si>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</si>
  <si>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</si>
  <si>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</si>
  <si>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</si>
  <si>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</si>
  <si>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</si>
  <si>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</si>
  <si>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</si>
  <si>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</si>
  <si>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</si>
  <si>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</si>
  <si>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</si>
  <si>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</si>
  <si>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</si>
  <si>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</si>
  <si>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</si>
  <si>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</si>
  <si>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</si>
  <si>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</si>
  <si>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</si>
  <si>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</si>
  <si>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</si>
  <si>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</si>
  <si>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</si>
  <si>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</si>
  <si>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</si>
  <si>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</si>
  <si>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</si>
  <si>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</si>
  <si>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</si>
  <si>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</si>
  <si>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</si>
  <si>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</si>
  <si>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</si>
  <si>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</si>
  <si>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</si>
  <si>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</si>
  <si>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</si>
  <si>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</si>
  <si>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</si>
  <si>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</si>
  <si>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</si>
  <si>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</si>
  <si>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</si>
  <si>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</si>
  <si>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</si>
  <si>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</si>
  <si>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</si>
  <si>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</si>
  <si>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</si>
  <si>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</si>
  <si>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</si>
  <si>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</si>
  <si>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</si>
  <si>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</si>
  <si>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</si>
  <si>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</si>
  <si>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</si>
  <si>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</si>
  <si>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</si>
  <si>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</si>
  <si>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</si>
  <si>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</si>
  <si>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</si>
  <si>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</si>
  <si>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</si>
  <si>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</si>
  <si>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</si>
  <si>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</si>
  <si>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</si>
  <si>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</si>
  <si>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</si>
  <si>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</si>
  <si>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</si>
  <si>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</si>
  <si>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</si>
  <si>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</si>
  <si>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</si>
  <si>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</si>
  <si>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</si>
  <si>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</si>
  <si>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</si>
  <si>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</si>
  <si>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</si>
  <si>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</si>
  <si>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</si>
  <si>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</si>
  <si>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</si>
  <si>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</si>
  <si>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</si>
  <si>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</si>
  <si>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</si>
  <si>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</si>
  <si>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</si>
  <si>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</si>
  <si>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</si>
  <si>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</si>
  <si>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</si>
  <si>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</si>
  <si>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</si>
  <si>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</si>
  <si>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</si>
  <si>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</si>
  <si>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</si>
  <si>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</si>
  <si>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</si>
  <si>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</si>
  <si>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</si>
  <si>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</si>
  <si>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</si>
  <si>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</si>
  <si>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</si>
  <si>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</si>
  <si>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</si>
  <si>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</si>
  <si>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</si>
  <si>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</si>
  <si>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</si>
  <si>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</si>
  <si>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</si>
  <si>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</si>
  <si>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</si>
  <si>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</si>
  <si>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</si>
  <si>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</si>
  <si>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</si>
  <si>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</si>
  <si>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</si>
  <si>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</si>
  <si>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</si>
  <si>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</si>
  <si>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</si>
  <si>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</si>
  <si>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</si>
  <si>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</si>
  <si>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</si>
  <si>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</si>
  <si>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</si>
  <si>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</si>
  <si>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</si>
  <si>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</si>
  <si>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</si>
  <si>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</si>
  <si>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</si>
  <si>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</si>
  <si>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</si>
  <si>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</si>
  <si>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</si>
  <si>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</si>
  <si>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</si>
  <si>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</si>
  <si>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</si>
  <si>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</si>
  <si>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</si>
  <si>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</si>
  <si>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</si>
  <si>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</si>
  <si>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</si>
  <si>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</si>
  <si>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</si>
  <si>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</si>
  <si>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</si>
  <si>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</si>
  <si>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</si>
  <si>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</si>
  <si>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</si>
  <si>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</si>
  <si>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</si>
  <si>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</si>
  <si>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</si>
  <si>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</si>
  <si>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</si>
  <si>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</si>
  <si>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</si>
  <si>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</si>
  <si>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</si>
  <si>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</si>
  <si>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</si>
  <si>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</si>
  <si>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</si>
  <si>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</si>
  <si>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</si>
  <si>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</si>
  <si>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</si>
  <si>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</si>
  <si>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</si>
  <si>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</si>
  <si>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</si>
  <si>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</si>
  <si>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</si>
  <si>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</si>
  <si>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</si>
  <si>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</si>
  <si>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</si>
  <si>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</si>
  <si>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</si>
  <si>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</si>
  <si>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</si>
  <si>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</si>
  <si>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</si>
  <si>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</si>
  <si>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</si>
  <si>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</si>
  <si>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</si>
  <si>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</si>
  <si>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</si>
  <si>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</si>
  <si>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</si>
  <si>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</si>
  <si>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</si>
  <si>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</si>
  <si>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</si>
  <si>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</si>
  <si>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</si>
  <si>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</si>
  <si>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</si>
  <si>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</si>
  <si>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</si>
  <si>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</si>
  <si>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</si>
  <si>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</si>
  <si>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</si>
  <si>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</si>
  <si>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</si>
  <si>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</si>
  <si>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</si>
  <si>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</si>
  <si>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</si>
  <si>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</si>
  <si>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</si>
  <si>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</si>
  <si>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</si>
  <si>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</si>
  <si>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</si>
  <si>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</si>
  <si>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</si>
  <si>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</si>
  <si>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</si>
  <si>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</si>
  <si>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</si>
  <si>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</si>
  <si>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</si>
  <si>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</si>
  <si>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</si>
  <si>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</si>
  <si>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</si>
  <si>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</si>
  <si>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</si>
  <si>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</si>
  <si>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</si>
  <si>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</si>
  <si>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</si>
  <si>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</si>
  <si>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</si>
  <si>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</si>
  <si>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</si>
  <si>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</si>
  <si>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</si>
  <si>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</si>
  <si>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</si>
  <si>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</si>
  <si>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</si>
  <si>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</si>
  <si>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</si>
  <si>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</si>
  <si>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</si>
  <si>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</si>
  <si>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</si>
  <si>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</si>
  <si>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</si>
  <si>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</si>
  <si>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</si>
  <si>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</si>
  <si>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</si>
  <si>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</si>
  <si>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</si>
  <si>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</si>
  <si>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</si>
  <si>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</si>
  <si>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</si>
  <si>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</si>
  <si>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</si>
  <si>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</si>
  <si>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</si>
  <si>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</si>
  <si>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</si>
  <si>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</si>
  <si>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</si>
  <si>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</si>
  <si>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</si>
  <si>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</si>
  <si>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</si>
  <si>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</si>
  <si>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</si>
  <si>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</si>
  <si>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</si>
  <si>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</si>
  <si>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</si>
  <si>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</si>
  <si>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</si>
  <si>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</si>
  <si>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</si>
  <si>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</si>
  <si>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</si>
  <si>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</si>
  <si>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</si>
  <si>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</si>
  <si>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</si>
  <si>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</si>
  <si>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</si>
  <si>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</si>
  <si>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</si>
  <si>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</si>
  <si>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</si>
  <si>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</si>
  <si>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</si>
  <si>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</si>
  <si>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</si>
  <si>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</si>
  <si>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</si>
  <si>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</si>
  <si>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</si>
  <si>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</si>
  <si>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</si>
  <si>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</si>
  <si>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</si>
  <si>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</si>
  <si>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</si>
  <si>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</si>
  <si>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</si>
  <si>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</si>
  <si>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</si>
  <si>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</si>
  <si>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</si>
  <si>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</si>
  <si>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</si>
  <si>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</si>
  <si>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</si>
  <si>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</si>
  <si>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</si>
  <si>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</si>
  <si>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</si>
  <si>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</si>
  <si>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</si>
  <si>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</si>
  <si>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</si>
  <si>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</si>
  <si>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</si>
  <si>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</si>
  <si>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</si>
  <si>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</si>
  <si>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</si>
  <si>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</si>
  <si>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</si>
  <si>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</si>
  <si>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</si>
  <si>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</si>
  <si>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</si>
  <si>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</si>
  <si>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</si>
  <si>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</si>
  <si>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</si>
  <si>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</si>
  <si>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</si>
  <si>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</si>
  <si>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</si>
  <si>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</si>
  <si>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</si>
  <si>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</si>
  <si>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</si>
  <si>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</si>
  <si>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</si>
  <si>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</si>
  <si>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</si>
  <si>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</si>
  <si>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</si>
  <si>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</si>
  <si>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</si>
  <si>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</si>
  <si>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</si>
  <si>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</si>
  <si>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</si>
  <si>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</si>
  <si>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</si>
  <si>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</si>
  <si>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</si>
  <si>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</si>
  <si>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</si>
  <si>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</si>
  <si>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</si>
  <si>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</si>
  <si>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</si>
  <si>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</si>
  <si>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</si>
  <si>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</si>
  <si>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</si>
  <si>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</si>
  <si>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</si>
  <si>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</si>
  <si>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</si>
  <si>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</si>
  <si>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</si>
  <si>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</si>
  <si>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</si>
  <si>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</si>
  <si>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</si>
  <si>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</si>
  <si>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</si>
  <si>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</si>
  <si>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</si>
  <si>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</si>
  <si>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</si>
  <si>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</si>
  <si>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</si>
  <si>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</si>
  <si>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</si>
  <si>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</si>
  <si>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</si>
  <si>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</si>
  <si>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</si>
  <si>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</si>
  <si>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</si>
  <si>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</si>
  <si>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</si>
  <si>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</si>
  <si>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</si>
  <si>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</si>
  <si>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</si>
  <si>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</si>
  <si>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</si>
  <si>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</si>
  <si>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</si>
  <si>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</si>
  <si>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</si>
  <si>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</si>
  <si>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</si>
  <si>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</si>
  <si>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</si>
  <si>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</si>
  <si>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</si>
  <si>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</si>
  <si>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</si>
  <si>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</si>
  <si>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</si>
  <si>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</si>
  <si>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</si>
  <si>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</si>
  <si>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</si>
  <si>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</si>
  <si>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</si>
  <si>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</si>
  <si>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</si>
  <si>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</si>
  <si>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</si>
  <si>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</si>
  <si>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</si>
  <si>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</si>
  <si>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</si>
  <si>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</si>
  <si>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</si>
  <si>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</si>
  <si>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</si>
  <si>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</si>
  <si>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</si>
  <si>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</si>
  <si>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</si>
  <si>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</si>
  <si>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</si>
  <si>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</si>
  <si>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</si>
  <si>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</si>
  <si>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</si>
  <si>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</si>
  <si>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</si>
  <si>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</si>
  <si>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</si>
  <si>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</si>
  <si>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</si>
  <si>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</si>
  <si>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</si>
  <si>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</si>
  <si>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</si>
  <si>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</si>
  <si>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</si>
  <si>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</si>
  <si>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</si>
  <si>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</si>
  <si>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</si>
  <si>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</si>
  <si>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</si>
  <si>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</si>
  <si>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</si>
  <si>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</si>
  <si>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</si>
  <si>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</si>
  <si>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</si>
  <si>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</si>
  <si>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</si>
  <si>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</si>
  <si>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</si>
  <si>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</si>
  <si>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</si>
  <si>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</si>
  <si>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</si>
  <si>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</si>
  <si>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</si>
  <si>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</si>
  <si>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</si>
  <si>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</si>
  <si>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</si>
  <si>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</si>
  <si>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</si>
  <si>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</si>
  <si>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</si>
  <si>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</si>
  <si>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</si>
  <si>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</si>
  <si>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</si>
  <si>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</si>
  <si>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</si>
  <si>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</si>
  <si>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</si>
  <si>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</si>
  <si>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</si>
  <si>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</si>
  <si>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</si>
  <si>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</si>
  <si>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</si>
  <si>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</si>
  <si>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</si>
  <si>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</si>
  <si>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</si>
  <si>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</si>
  <si>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</si>
  <si>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</si>
  <si>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</si>
  <si>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</si>
  <si>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</si>
  <si>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</si>
  <si>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</si>
  <si>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</si>
  <si>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</si>
  <si>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</si>
  <si>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</si>
  <si>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</si>
  <si>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</si>
  <si>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</si>
  <si>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</si>
  <si>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</si>
  <si>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</si>
  <si>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</si>
  <si>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</si>
  <si>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</si>
  <si>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</si>
  <si>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</si>
  <si>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</si>
  <si>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</si>
  <si>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</si>
  <si>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</si>
  <si>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</si>
  <si>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</si>
  <si>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</si>
  <si>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</si>
  <si>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</si>
  <si>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</si>
  <si>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</si>
  <si>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</si>
  <si>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</si>
  <si>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</si>
  <si>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</si>
  <si>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</si>
  <si>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</si>
  <si>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</si>
  <si>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</si>
  <si>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</si>
  <si>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</si>
  <si>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</si>
  <si>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</si>
  <si>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</si>
  <si>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</si>
  <si>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</si>
  <si>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</si>
  <si>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</si>
  <si>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</si>
  <si>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</si>
  <si>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</si>
  <si>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</si>
  <si>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</si>
  <si>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</si>
  <si>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</si>
  <si>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</si>
  <si>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</si>
  <si>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</si>
  <si>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</si>
  <si>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</si>
  <si>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</si>
  <si>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</si>
  <si>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</si>
  <si>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</si>
  <si>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</si>
  <si>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</si>
  <si>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</si>
  <si>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</si>
  <si>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</si>
  <si>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</si>
  <si>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</si>
  <si>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</si>
  <si>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</si>
  <si>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</si>
  <si>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</si>
  <si>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</si>
  <si>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</si>
  <si>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</si>
  <si>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</si>
  <si>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</si>
  <si>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</si>
  <si>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</si>
  <si>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</si>
  <si>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</si>
  <si>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</si>
  <si>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</si>
  <si>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</si>
  <si>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</si>
  <si>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</si>
  <si>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</si>
  <si>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</si>
  <si>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</si>
  <si>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</si>
  <si>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</si>
  <si>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</si>
  <si>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</si>
  <si>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</si>
  <si>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</si>
  <si>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</si>
  <si>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</si>
  <si>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</si>
  <si>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</si>
  <si>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</si>
  <si>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</si>
  <si>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</si>
  <si>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</si>
  <si>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</si>
  <si>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</si>
  <si>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</si>
  <si>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</si>
  <si>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</si>
  <si>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</si>
  <si>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</si>
  <si>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</si>
  <si>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</si>
  <si>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</si>
  <si>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</si>
  <si>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</si>
  <si>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</si>
  <si>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</si>
  <si>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</si>
  <si>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</si>
  <si>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</si>
  <si>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</si>
  <si>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</si>
  <si>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</si>
  <si>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</si>
  <si>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</si>
  <si>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</si>
  <si>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</si>
  <si>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</si>
  <si>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</si>
  <si>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</si>
  <si>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</si>
  <si>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</si>
  <si>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</si>
  <si>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</si>
  <si>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</si>
  <si>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</si>
  <si>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</si>
  <si>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</si>
  <si>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</si>
  <si>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</si>
  <si>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</si>
  <si>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</si>
  <si>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</si>
  <si>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</si>
  <si>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</si>
  <si>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</si>
  <si>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</si>
  <si>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</si>
  <si>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</si>
  <si>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</si>
  <si>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</si>
  <si>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</si>
  <si>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</si>
  <si>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</si>
  <si>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</si>
  <si>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</si>
  <si>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</si>
  <si>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</si>
  <si>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</si>
  <si>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</si>
  <si>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</si>
  <si>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</si>
  <si>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</si>
  <si>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</si>
  <si>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</si>
  <si>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</si>
  <si>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</si>
  <si>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</si>
  <si>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</si>
  <si>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</si>
  <si>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</si>
  <si>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</si>
  <si>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</si>
  <si>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</si>
  <si>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</si>
  <si>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</si>
  <si>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</si>
  <si>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</si>
  <si>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</si>
  <si>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</si>
  <si>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</si>
  <si>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</si>
  <si>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</si>
  <si>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</si>
  <si>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</si>
  <si>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</si>
  <si>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</si>
  <si>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</si>
  <si>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</si>
  <si>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</si>
  <si>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</si>
  <si>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</si>
  <si>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</si>
  <si>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</si>
  <si>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</si>
  <si>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</si>
  <si>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</si>
  <si>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</si>
  <si>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</si>
  <si>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</si>
  <si>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</si>
  <si>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</si>
  <si>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</si>
  <si>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</si>
  <si>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</si>
  <si>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</si>
  <si>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</si>
  <si>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</si>
  <si>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</si>
  <si>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</si>
  <si>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</si>
  <si>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</si>
  <si>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</si>
  <si>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</si>
  <si>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</si>
  <si>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</si>
  <si>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</si>
  <si>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</si>
  <si>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</si>
  <si>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</si>
  <si>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</si>
  <si>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</si>
  <si>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</si>
  <si>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</si>
  <si>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</si>
  <si>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</si>
  <si>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</si>
  <si>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</si>
  <si>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</si>
  <si>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</si>
  <si>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</si>
  <si>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</si>
  <si>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</si>
  <si>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</si>
  <si>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</si>
  <si>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</si>
  <si>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</si>
  <si>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</si>
  <si>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</si>
  <si>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</si>
  <si>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</si>
  <si>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</si>
  <si>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</si>
  <si>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</si>
  <si>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</si>
  <si>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</si>
  <si>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</si>
  <si>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</si>
  <si>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</si>
  <si>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</si>
  <si>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</si>
  <si>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</si>
  <si>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</si>
  <si>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</si>
  <si>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</si>
  <si>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</si>
  <si>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</si>
  <si>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</si>
  <si>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</si>
  <si>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</si>
  <si>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</si>
  <si>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</si>
  <si>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</si>
  <si>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</si>
  <si>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</si>
  <si>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</si>
  <si>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</si>
  <si>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</si>
  <si>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</si>
  <si>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</si>
  <si>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</si>
  <si>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</si>
  <si>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</si>
  <si>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</si>
  <si>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</si>
  <si>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</si>
  <si>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</si>
  <si>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</si>
  <si>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</si>
  <si>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</si>
  <si>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</si>
  <si>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</si>
  <si>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</si>
  <si>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</si>
  <si>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</si>
  <si>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</si>
  <si>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</si>
  <si>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</si>
  <si>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</si>
  <si>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</si>
  <si>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</si>
  <si>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</si>
  <si>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</si>
  <si>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</si>
  <si>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</si>
  <si>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</si>
  <si>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</si>
  <si>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</si>
  <si>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</si>
  <si>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</si>
  <si>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</si>
  <si>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</si>
  <si>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</si>
  <si>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</si>
  <si>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</si>
  <si>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</si>
  <si>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</si>
  <si>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</si>
  <si>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</si>
  <si>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</si>
  <si>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</si>
  <si>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</si>
  <si>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</si>
  <si>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</si>
  <si>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</si>
  <si>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</si>
  <si>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</si>
  <si>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</si>
  <si>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</si>
  <si>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</si>
  <si>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</si>
  <si>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</si>
  <si>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</si>
  <si>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</si>
  <si>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</si>
  <si>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</si>
  <si>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</si>
  <si>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</si>
  <si>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</si>
  <si>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</si>
  <si>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</si>
  <si>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</si>
  <si>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</si>
  <si>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</si>
  <si>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</si>
  <si>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</si>
  <si>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</si>
  <si>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</si>
  <si>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</si>
  <si>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</si>
  <si>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</si>
  <si>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</si>
  <si>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</si>
  <si>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</si>
  <si>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</si>
  <si>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</si>
  <si>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</si>
  <si>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</si>
  <si>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</si>
  <si>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</si>
  <si>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</si>
  <si>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</si>
  <si>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</si>
  <si>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</si>
  <si>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</si>
  <si>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</si>
  <si>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</si>
  <si>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</si>
  <si>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</si>
  <si>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</si>
  <si>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</si>
  <si>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</si>
  <si>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</si>
  <si>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</si>
  <si>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</si>
  <si>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</si>
  <si>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</si>
  <si>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</si>
  <si>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</si>
  <si>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</si>
  <si>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</si>
  <si>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</si>
  <si>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</si>
  <si>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</si>
  <si>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</si>
  <si>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</si>
  <si>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</si>
  <si>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</si>
  <si>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</si>
  <si>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</si>
  <si>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</si>
  <si>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</si>
  <si>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</si>
  <si>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</si>
  <si>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</si>
  <si>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</si>
  <si>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</si>
  <si>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</si>
  <si>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</si>
  <si>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</si>
  <si>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</si>
  <si>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</si>
  <si>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</si>
  <si>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</si>
  <si>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</si>
  <si>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</si>
  <si>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</si>
  <si>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</si>
  <si>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</si>
  <si>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</si>
  <si>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</si>
  <si>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</si>
  <si>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</si>
  <si>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</si>
  <si>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</si>
  <si>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</si>
  <si>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</si>
  <si>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</si>
  <si>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</si>
  <si>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</si>
  <si>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</si>
  <si>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</si>
  <si>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</si>
  <si>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</si>
  <si>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</si>
  <si>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</si>
  <si>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</si>
  <si>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</si>
  <si>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</si>
  <si>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</si>
  <si>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</si>
  <si>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</si>
  <si>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</si>
  <si>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</si>
  <si>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</si>
  <si>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</si>
  <si>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</si>
  <si>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</si>
  <si>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</si>
  <si>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</si>
  <si>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</si>
  <si>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</si>
  <si>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</si>
  <si>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</si>
  <si>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</si>
  <si>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</si>
  <si>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</si>
  <si>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</si>
  <si>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</si>
  <si>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</si>
  <si>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</si>
  <si>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</si>
  <si>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</si>
  <si>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</si>
  <si>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</si>
  <si>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</si>
  <si>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</si>
  <si>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</si>
  <si>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</si>
  <si>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</si>
  <si>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</si>
  <si>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</si>
  <si>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</si>
  <si>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</si>
  <si>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</si>
  <si>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</si>
  <si>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</si>
  <si>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</si>
  <si>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</si>
  <si>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</si>
  <si>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</si>
  <si>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</si>
  <si>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</si>
  <si>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</si>
  <si>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</si>
  <si>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</si>
  <si>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</si>
  <si>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</si>
  <si>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</si>
  <si>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</si>
  <si>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</si>
  <si>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</si>
  <si>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</si>
  <si>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</si>
  <si>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</si>
  <si>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</si>
  <si>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</si>
  <si>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</si>
  <si>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</si>
  <si>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</si>
  <si>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</si>
  <si>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</si>
  <si>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</si>
  <si>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</si>
  <si>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</si>
  <si>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</si>
  <si>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</si>
  <si>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</si>
  <si>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</si>
  <si>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</si>
  <si>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</si>
  <si>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</si>
  <si>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</si>
  <si>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</si>
  <si>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</si>
  <si>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</si>
  <si>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</si>
  <si>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</si>
  <si>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</si>
  <si>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</si>
  <si>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</si>
  <si>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</si>
  <si>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</si>
  <si>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</si>
  <si>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</si>
  <si>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</si>
  <si>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</si>
  <si>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</si>
  <si>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</si>
  <si>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</si>
  <si>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</si>
  <si>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</si>
  <si>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</si>
  <si>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</si>
  <si>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</si>
  <si>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</si>
  <si>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</si>
  <si>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</si>
  <si>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</si>
  <si>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</si>
  <si>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</si>
  <si>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</si>
  <si>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</si>
  <si>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</si>
  <si>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</si>
  <si>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</si>
  <si>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</si>
  <si>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</si>
  <si>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</si>
  <si>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</si>
  <si>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</si>
  <si>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</si>
  <si>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</si>
  <si>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</si>
  <si>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</si>
  <si>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</si>
  <si>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</si>
  <si>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</si>
  <si>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</si>
  <si>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</si>
  <si>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</si>
  <si>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</si>
  <si>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</si>
  <si>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</si>
  <si>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</si>
  <si>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</si>
  <si>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</si>
  <si>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</si>
  <si>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</si>
  <si>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</si>
  <si>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</si>
  <si>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</si>
  <si>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</si>
  <si>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</si>
  <si>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</si>
  <si>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</si>
  <si>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</si>
  <si>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</si>
  <si>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</si>
  <si>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</si>
  <si>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</si>
  <si>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</si>
  <si>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</si>
  <si>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</si>
  <si>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</si>
  <si>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</si>
  <si>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</si>
  <si>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</si>
  <si>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</si>
  <si>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</si>
  <si>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</si>
  <si>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</si>
  <si>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</si>
  <si>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</si>
  <si>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</si>
  <si>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</si>
  <si>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</si>
  <si>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</si>
  <si>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</si>
  <si>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</si>
  <si>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</si>
  <si>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</si>
  <si>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</si>
  <si>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</si>
  <si>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</si>
  <si>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</si>
  <si>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</si>
  <si>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</si>
  <si>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</si>
  <si>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</si>
  <si>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</si>
  <si>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</si>
  <si>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</si>
  <si>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</si>
  <si>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</si>
  <si>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</si>
  <si>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</si>
  <si>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</si>
  <si>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</si>
  <si>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</si>
  <si>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</si>
  <si>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</si>
  <si>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</si>
  <si>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</si>
  <si>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</si>
  <si>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</si>
  <si>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</si>
  <si>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</si>
  <si>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</si>
  <si>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</si>
  <si>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</si>
  <si>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</si>
  <si>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</si>
  <si>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</si>
  <si>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</si>
  <si>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</si>
  <si>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</si>
  <si>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</si>
  <si>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</si>
  <si>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</si>
  <si>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</si>
  <si>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</si>
  <si>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</si>
  <si>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</si>
  <si>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</si>
  <si>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</si>
  <si>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</si>
  <si>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</si>
  <si>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</si>
  <si>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</si>
  <si>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</si>
  <si>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</si>
  <si>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</si>
  <si>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</si>
  <si>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</si>
  <si>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</si>
  <si>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</si>
  <si>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</si>
  <si>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</si>
  <si>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</si>
  <si>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</si>
  <si>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</si>
  <si>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</si>
  <si>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</si>
  <si>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</si>
  <si>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</si>
  <si>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</si>
  <si>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</si>
  <si>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</si>
  <si>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</si>
  <si>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</si>
  <si>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</si>
  <si>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</si>
  <si>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</si>
  <si>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</si>
  <si>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</si>
  <si>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</si>
  <si>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</si>
  <si>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</si>
  <si>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</si>
  <si>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</si>
  <si>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</si>
  <si>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</si>
  <si>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</si>
  <si>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</si>
  <si>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</si>
  <si>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</si>
  <si>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</si>
  <si>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</si>
  <si>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</si>
  <si>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</si>
  <si>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</si>
  <si>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</si>
  <si>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</si>
  <si>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</si>
  <si>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</si>
  <si>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</si>
  <si>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</si>
  <si>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</si>
  <si>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</si>
  <si>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</si>
  <si>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</si>
  <si>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</si>
  <si>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</si>
  <si>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</si>
  <si>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</si>
  <si>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</si>
  <si>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</si>
  <si>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</si>
  <si>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</si>
  <si>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</si>
  <si>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</si>
  <si>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</si>
  <si>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</si>
  <si>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</si>
  <si>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</si>
  <si>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</si>
  <si>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</si>
  <si>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</si>
  <si>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</si>
  <si>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</si>
  <si>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</si>
  <si>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</si>
  <si>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</si>
  <si>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</si>
  <si>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</si>
  <si>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</si>
  <si>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</si>
  <si>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</si>
  <si>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</si>
  <si>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</si>
  <si>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</si>
  <si>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</si>
  <si>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</si>
  <si>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</si>
  <si>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</si>
  <si>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</si>
  <si>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</si>
  <si>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</si>
  <si>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</si>
  <si>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</si>
  <si>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</si>
  <si>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</si>
  <si>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</si>
  <si>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</si>
  <si>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</si>
  <si>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</si>
  <si>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</si>
  <si>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</si>
  <si>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</si>
  <si>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</si>
  <si>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</si>
  <si>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</si>
  <si>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</si>
  <si>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</si>
  <si>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</si>
  <si>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</si>
  <si>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</si>
  <si>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</si>
  <si>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</si>
  <si>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</si>
  <si>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</si>
  <si>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</si>
  <si>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</si>
  <si>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</si>
  <si>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</si>
  <si>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</si>
  <si>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</si>
  <si>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</si>
  <si>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</si>
  <si>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</si>
  <si>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</si>
  <si>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</si>
  <si>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</si>
  <si>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</si>
  <si>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</si>
  <si>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</si>
  <si>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</si>
  <si>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</si>
  <si>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</si>
  <si>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</si>
  <si>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</si>
  <si>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</si>
  <si>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</si>
  <si>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</si>
  <si>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</si>
  <si>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</si>
  <si>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</si>
  <si>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</si>
  <si>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</si>
  <si>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</si>
  <si>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</si>
  <si>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</si>
  <si>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</si>
  <si>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</si>
  <si>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</si>
  <si>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</si>
  <si>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</si>
  <si>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</si>
  <si>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</si>
  <si>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</si>
  <si>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</si>
  <si>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</si>
  <si>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</si>
  <si>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</si>
  <si>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</si>
  <si>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</si>
  <si>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</si>
  <si>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</si>
  <si>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</si>
  <si>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</si>
  <si>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</si>
  <si>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</si>
  <si>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</si>
  <si>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</si>
  <si>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</si>
  <si>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</si>
  <si>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</si>
  <si>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</si>
  <si>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</si>
  <si>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</si>
  <si>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</si>
  <si>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</si>
  <si>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</si>
  <si>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</si>
  <si>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</si>
  <si>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</si>
  <si>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</si>
  <si>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</si>
  <si>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</si>
  <si>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</si>
  <si>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</si>
  <si>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</si>
  <si>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</si>
  <si>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</si>
  <si>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</si>
  <si>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</si>
  <si>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</si>
  <si>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</si>
  <si>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</si>
  <si>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</si>
  <si>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</si>
  <si>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</si>
  <si>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</si>
  <si>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</si>
  <si>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</si>
  <si>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</si>
  <si>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</si>
  <si>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</si>
  <si>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</si>
  <si>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</si>
  <si>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</si>
  <si>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</si>
  <si>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</si>
  <si>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</si>
  <si>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</si>
  <si>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</si>
  <si>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</si>
  <si>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</si>
  <si>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</si>
  <si>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</si>
  <si>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</si>
  <si>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</si>
  <si>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</si>
  <si>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</si>
  <si>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</si>
  <si>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</si>
  <si>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</si>
  <si>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</si>
  <si>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</si>
  <si>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</si>
  <si>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</si>
  <si>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</si>
  <si>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</si>
  <si>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</si>
  <si>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</si>
  <si>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</si>
  <si>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</si>
  <si>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</si>
  <si>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</si>
  <si>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</si>
  <si>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</si>
  <si>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</si>
  <si>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</si>
  <si>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</si>
  <si>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</si>
  <si>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</si>
  <si>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</si>
  <si>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</si>
  <si>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</si>
  <si>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</si>
  <si>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</si>
  <si>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</si>
  <si>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</si>
  <si>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</si>
  <si>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</si>
  <si>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</si>
  <si>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</si>
  <si>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</si>
  <si>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</si>
  <si>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</si>
  <si>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</si>
  <si>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</si>
  <si>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</si>
  <si>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</si>
  <si>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</si>
  <si>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</si>
  <si>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</si>
  <si>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</si>
  <si>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</si>
  <si>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</si>
  <si>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</si>
  <si>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</si>
  <si>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</si>
  <si>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</si>
  <si>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</si>
  <si>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</si>
  <si>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</si>
  <si>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</si>
  <si>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</si>
  <si>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</si>
  <si>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</si>
  <si>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</si>
  <si>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</si>
  <si>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</si>
  <si>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</si>
  <si>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</si>
  <si>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</si>
  <si>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</si>
  <si>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</si>
  <si>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</si>
  <si>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</si>
  <si>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</si>
  <si>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</si>
  <si>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</si>
  <si>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</si>
  <si>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</si>
  <si>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</si>
  <si>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</si>
  <si>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</si>
  <si>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</si>
  <si>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</si>
  <si>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</si>
  <si>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</si>
  <si>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</si>
  <si>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</si>
  <si>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</si>
  <si>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</si>
  <si>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</si>
  <si>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</si>
  <si>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</si>
  <si>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</si>
  <si>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</si>
  <si>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</si>
  <si>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</si>
  <si>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</si>
  <si>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</si>
  <si>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</si>
  <si>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</si>
  <si>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</si>
  <si>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</si>
  <si>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</si>
  <si>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</si>
  <si>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</si>
  <si>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</si>
  <si>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</si>
  <si>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</si>
  <si>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</si>
  <si>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</si>
  <si>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</si>
  <si>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</si>
  <si>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</si>
  <si>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</si>
  <si>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</si>
  <si>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</si>
  <si>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</si>
  <si>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</si>
  <si>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</si>
  <si>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</si>
  <si>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</si>
  <si>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</si>
  <si>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</si>
  <si>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</si>
  <si>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</si>
  <si>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</si>
  <si>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</si>
  <si>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</si>
  <si>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</si>
  <si>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</si>
  <si>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</si>
  <si>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</si>
  <si>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</si>
  <si>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</si>
  <si>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</si>
  <si>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</si>
  <si>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</si>
  <si>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</si>
  <si>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</si>
  <si>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</si>
  <si>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</si>
  <si>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</si>
  <si>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</si>
  <si>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</si>
  <si>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</si>
  <si>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</si>
  <si>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</si>
  <si>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</si>
  <si>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</si>
  <si>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</si>
  <si>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</si>
  <si>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</si>
  <si>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</si>
  <si>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</si>
  <si>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</si>
  <si>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</si>
  <si>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</si>
  <si>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</si>
  <si>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</si>
  <si>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</si>
  <si>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</si>
  <si>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</si>
  <si>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</si>
  <si>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</si>
  <si>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</si>
  <si>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</si>
  <si>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</si>
  <si>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</si>
  <si>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</si>
  <si>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</si>
  <si>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</si>
  <si>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</si>
  <si>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</si>
  <si>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</si>
  <si>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</si>
  <si>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</si>
  <si>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</si>
  <si>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</si>
  <si>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</si>
  <si>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</si>
  <si>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</si>
  <si>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</si>
  <si>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</si>
  <si>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</si>
  <si>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</si>
  <si>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</si>
  <si>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</si>
  <si>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</si>
  <si>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</si>
  <si>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</si>
  <si>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</si>
  <si>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</si>
  <si>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</si>
  <si>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</si>
  <si>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</si>
  <si>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</si>
  <si>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</si>
  <si>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</si>
  <si>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</si>
  <si>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</si>
  <si>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</si>
  <si>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</si>
  <si>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</si>
  <si>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</si>
  <si>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</si>
  <si>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</si>
  <si>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</si>
  <si>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</si>
  <si>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</si>
  <si>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</si>
  <si>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</si>
  <si>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</si>
  <si>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</si>
  <si>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</si>
  <si>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</si>
  <si>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</si>
  <si>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</si>
  <si>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</si>
  <si>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</si>
  <si>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</si>
  <si>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</si>
  <si>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</si>
  <si>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</si>
  <si>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</si>
  <si>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</si>
  <si>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</si>
  <si>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</si>
  <si>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</si>
  <si>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</si>
  <si>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</si>
  <si>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</si>
  <si>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</si>
  <si>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</si>
  <si>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</si>
  <si>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</si>
  <si>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</si>
  <si>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</si>
  <si>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</si>
  <si>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</si>
  <si>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</si>
  <si>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</si>
  <si>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</si>
  <si>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</si>
  <si>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</si>
  <si>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</si>
  <si>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</si>
  <si>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</si>
  <si>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</si>
  <si>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</si>
  <si>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</si>
  <si>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</si>
  <si>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</si>
  <si>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</si>
  <si>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</si>
  <si>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</si>
  <si>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</si>
  <si>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</si>
  <si>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</si>
  <si>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</si>
  <si>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</si>
  <si>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</si>
  <si>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</si>
  <si>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</si>
  <si>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</si>
  <si>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</si>
  <si>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</si>
  <si>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</si>
  <si>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</si>
  <si>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</si>
  <si>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</si>
  <si>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</si>
  <si>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</si>
  <si>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</si>
  <si>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</si>
  <si>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</si>
  <si>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</si>
  <si>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</si>
  <si>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</si>
  <si>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</si>
  <si>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</si>
  <si>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</si>
  <si>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</si>
  <si>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</si>
  <si>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</si>
  <si>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</si>
  <si>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</si>
  <si>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</si>
  <si>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</si>
  <si>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</si>
  <si>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</si>
  <si>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</si>
  <si>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</si>
  <si>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</si>
  <si>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</si>
  <si>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</si>
  <si>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</si>
  <si>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</si>
  <si>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</si>
  <si>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</si>
  <si>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</si>
  <si>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</si>
  <si>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</si>
  <si>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</si>
  <si>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</si>
  <si>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</si>
  <si>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</si>
  <si>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</si>
  <si>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</si>
  <si>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</si>
  <si>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</si>
  <si>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</si>
  <si>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</si>
  <si>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</si>
  <si>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</si>
  <si>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</si>
  <si>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</si>
  <si>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</si>
  <si>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</si>
  <si>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</si>
  <si>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</si>
  <si>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</si>
  <si>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</si>
  <si>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</si>
  <si>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</si>
  <si>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</si>
  <si>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</si>
  <si>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</si>
  <si>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</si>
  <si>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</si>
  <si>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</si>
  <si>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</si>
  <si>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</si>
  <si>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</si>
  <si>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</si>
  <si>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</si>
  <si>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</si>
  <si>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</si>
  <si>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</si>
  <si>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</si>
  <si>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</si>
  <si>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</si>
  <si>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</si>
  <si>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</si>
  <si>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</si>
  <si>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</si>
  <si>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</si>
  <si>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</si>
  <si>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</si>
  <si>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</si>
  <si>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</si>
  <si>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</si>
  <si>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</si>
  <si>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</si>
  <si>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</si>
  <si>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</si>
  <si>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</si>
  <si>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</si>
  <si>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</si>
  <si>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</si>
  <si>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</si>
  <si>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</si>
  <si>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</si>
  <si>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</si>
  <si>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</si>
  <si>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</si>
  <si>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</si>
  <si>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</si>
  <si>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</si>
  <si>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</si>
  <si>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</si>
  <si>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</si>
  <si>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</si>
  <si>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</si>
  <si>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</si>
  <si>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</si>
  <si>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</si>
  <si>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</si>
  <si>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</si>
  <si>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</si>
  <si>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</si>
  <si>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</si>
  <si>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</si>
  <si>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</si>
  <si>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</si>
  <si>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</si>
  <si>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</si>
  <si>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</si>
  <si>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</si>
  <si>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</si>
  <si>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</si>
  <si>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</si>
  <si>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</si>
  <si>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</si>
  <si>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</si>
  <si>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</si>
  <si>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</si>
  <si>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</si>
  <si>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</si>
  <si>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</si>
  <si>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</si>
  <si>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</si>
  <si>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</si>
  <si>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</si>
  <si>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</si>
  <si>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</si>
  <si>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</si>
  <si>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</si>
  <si>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</si>
  <si>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</si>
  <si>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</si>
  <si>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</si>
  <si>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</si>
  <si>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</si>
  <si>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</si>
  <si>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</si>
  <si>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</si>
  <si>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</si>
  <si>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</si>
  <si>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</si>
  <si>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</si>
  <si>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</si>
  <si>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</si>
  <si>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</si>
  <si>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</si>
  <si>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</si>
  <si>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</si>
  <si>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</si>
  <si>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</si>
  <si>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</si>
  <si>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</si>
  <si>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</si>
  <si>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</si>
  <si>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</si>
  <si>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</si>
  <si>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</si>
  <si>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</si>
  <si>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</si>
  <si>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</si>
  <si>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</si>
  <si>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</si>
  <si>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</si>
  <si>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</si>
  <si>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</si>
  <si>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</si>
  <si>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</si>
  <si>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</si>
  <si>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</si>
  <si>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</si>
  <si>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</si>
  <si>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</si>
  <si>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</si>
  <si>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</si>
  <si>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</si>
  <si>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</si>
  <si>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</si>
  <si>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</si>
  <si>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</si>
  <si>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</si>
  <si>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</si>
  <si>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</si>
  <si>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</si>
  <si>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</si>
  <si>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</si>
  <si>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</si>
  <si>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</si>
  <si>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</si>
  <si>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</si>
  <si>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</si>
  <si>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</si>
  <si>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</si>
  <si>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</si>
  <si>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</si>
  <si>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</si>
  <si>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</si>
  <si>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</si>
  <si>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</si>
  <si>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</si>
  <si>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</si>
  <si>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</si>
  <si>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</si>
  <si>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</si>
  <si>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</si>
  <si>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</si>
  <si>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</si>
  <si>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</si>
  <si>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</si>
  <si>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</si>
  <si>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</si>
  <si>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</si>
  <si>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</si>
  <si>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</si>
  <si>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</si>
  <si>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</si>
  <si>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</si>
  <si>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</si>
  <si>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</si>
  <si>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</si>
  <si>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</si>
  <si>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</si>
  <si>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</si>
  <si>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</si>
  <si>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</si>
  <si>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</si>
  <si>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</si>
  <si>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</si>
  <si>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</si>
  <si>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</si>
  <si>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</si>
  <si>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</si>
  <si>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</si>
  <si>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</si>
  <si>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</si>
  <si>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</si>
  <si>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</si>
  <si>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</si>
  <si>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</si>
  <si>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</si>
  <si>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</si>
  <si>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</si>
  <si>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</si>
  <si>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</si>
  <si>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</si>
  <si>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</si>
  <si>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</si>
  <si>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</si>
  <si>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</si>
  <si>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</si>
  <si>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</si>
  <si>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</si>
  <si>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</si>
  <si>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</si>
  <si>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</si>
  <si>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</si>
  <si>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</si>
  <si>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</si>
  <si>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</si>
  <si>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</si>
  <si>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</si>
  <si>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</si>
  <si>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</si>
  <si>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</si>
  <si>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</si>
  <si>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</si>
  <si>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</si>
  <si>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</si>
  <si>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</si>
  <si>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</si>
  <si>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</si>
  <si>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</si>
  <si>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</si>
  <si>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</si>
  <si>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</si>
  <si>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</si>
  <si>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</si>
  <si>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</si>
  <si>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</si>
  <si>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</si>
  <si>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</si>
  <si>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</si>
  <si>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</si>
  <si>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</si>
  <si>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</si>
  <si>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</si>
  <si>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</si>
  <si>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</si>
  <si>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</si>
  <si>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</si>
  <si>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</si>
  <si>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</si>
  <si>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</si>
  <si>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</si>
  <si>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</si>
  <si>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</si>
  <si>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</si>
  <si>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</si>
  <si>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</si>
  <si>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</si>
  <si>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</si>
  <si>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</si>
  <si>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</si>
  <si>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</si>
  <si>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</si>
  <si>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</si>
  <si>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</si>
  <si>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</si>
  <si>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</si>
  <si>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</si>
  <si>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</si>
  <si>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</si>
  <si>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</si>
  <si>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</si>
  <si>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</si>
  <si>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</si>
  <si>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</si>
  <si>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</si>
  <si>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</si>
  <si>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</si>
  <si>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</si>
  <si>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</si>
  <si>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</si>
  <si>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</si>
  <si>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</si>
  <si>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</si>
  <si>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</si>
  <si>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</si>
  <si>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</si>
  <si>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</si>
  <si>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</si>
  <si>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</si>
  <si>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</si>
  <si>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</si>
  <si>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</si>
  <si>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</si>
  <si>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</si>
  <si>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</si>
  <si>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</si>
  <si>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</si>
  <si>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</si>
  <si>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</si>
  <si>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</si>
  <si>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</si>
  <si>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</si>
  <si>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</si>
  <si>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</si>
  <si>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</si>
  <si>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</si>
  <si>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</si>
  <si>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</si>
  <si>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</si>
  <si>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</si>
  <si>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</si>
  <si>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</si>
  <si>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</si>
  <si>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</si>
  <si>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</si>
  <si>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</si>
  <si>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</si>
  <si>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</si>
  <si>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</si>
  <si>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</si>
  <si>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</si>
  <si>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</si>
  <si>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</si>
  <si>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</si>
  <si>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</si>
  <si>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</si>
  <si>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</si>
  <si>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</si>
  <si>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</si>
  <si>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</si>
  <si>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</si>
  <si>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</si>
  <si>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</si>
  <si>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</si>
  <si>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</si>
  <si>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</si>
  <si>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</si>
  <si>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</si>
  <si>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</si>
  <si>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</si>
  <si>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</si>
  <si>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</si>
  <si>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</si>
  <si>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</si>
  <si>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</si>
  <si>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</si>
  <si>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</si>
  <si>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</si>
  <si>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</si>
  <si>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</si>
  <si>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</si>
  <si>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</si>
  <si>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</si>
  <si>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</si>
  <si>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</si>
  <si>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</si>
  <si>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</si>
  <si>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</si>
  <si>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</si>
  <si>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</si>
  <si>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</si>
  <si>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</si>
  <si>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</si>
  <si>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</si>
  <si>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</si>
  <si>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</si>
  <si>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</si>
  <si>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</si>
  <si>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</si>
  <si>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</si>
  <si>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</si>
  <si>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</si>
  <si>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</si>
  <si>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</si>
  <si>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</si>
  <si>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</si>
  <si>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</si>
  <si>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</si>
  <si>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</si>
  <si>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</si>
  <si>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</si>
  <si>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</si>
  <si>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</si>
  <si>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</si>
  <si>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</si>
  <si>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</si>
  <si>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</si>
  <si>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</si>
  <si>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</si>
  <si>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</si>
  <si>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</si>
  <si>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</si>
  <si>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</si>
  <si>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</si>
  <si>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</si>
  <si>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</si>
  <si>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</si>
  <si>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</si>
  <si>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</si>
  <si>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</si>
  <si>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</si>
  <si>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</si>
  <si>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</si>
  <si>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</si>
  <si>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</si>
  <si>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</si>
  <si>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</si>
  <si>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</si>
  <si>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</si>
  <si>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</si>
  <si>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</si>
  <si>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</si>
  <si>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</si>
  <si>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</si>
  <si>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</si>
  <si>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</si>
  <si>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</si>
  <si>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</si>
  <si>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</si>
  <si>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</si>
  <si>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</si>
  <si>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</si>
  <si>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</si>
  <si>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</si>
  <si>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</si>
  <si>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</si>
  <si>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</si>
  <si>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</si>
  <si>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</si>
  <si>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</si>
  <si>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</si>
  <si>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</si>
  <si>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</si>
  <si>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</si>
  <si>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</si>
  <si>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</si>
  <si>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</si>
  <si>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</si>
  <si>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</si>
  <si>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</si>
  <si>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</si>
  <si>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</si>
  <si>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</si>
  <si>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</si>
  <si>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</si>
  <si>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</si>
  <si>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</si>
  <si>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</si>
  <si>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</si>
  <si>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</si>
  <si>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</si>
  <si>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</si>
  <si>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</si>
  <si>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</si>
  <si>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</si>
  <si>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</si>
  <si>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</si>
  <si>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</si>
  <si>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</si>
  <si>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</si>
  <si>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</si>
  <si>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</si>
  <si>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</si>
  <si>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</si>
  <si>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</si>
  <si>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</si>
  <si>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</si>
  <si>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</si>
  <si>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</si>
  <si>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</si>
  <si>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</si>
  <si>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</si>
  <si>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</si>
  <si>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</si>
  <si>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</si>
  <si>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</si>
  <si>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</si>
  <si>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</si>
  <si>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</si>
  <si>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</si>
  <si>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</si>
  <si>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</si>
  <si>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</si>
  <si>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</si>
  <si>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</si>
  <si>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</si>
  <si>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</si>
  <si>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</si>
  <si>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</si>
  <si>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</si>
  <si>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</si>
  <si>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</si>
  <si>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</si>
  <si>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</si>
  <si>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</si>
  <si>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</si>
  <si>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</si>
  <si>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</si>
  <si>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</si>
  <si>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</si>
  <si>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</si>
  <si>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</si>
  <si>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</si>
  <si>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</si>
  <si>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</si>
  <si>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</si>
  <si>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</si>
  <si>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</si>
  <si>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</si>
  <si>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</si>
  <si>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</si>
  <si>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</si>
  <si>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</si>
  <si>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</si>
  <si>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</si>
  <si>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</si>
  <si>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</si>
  <si>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</si>
  <si>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</si>
  <si>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</si>
  <si>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</si>
  <si>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</si>
  <si>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</si>
  <si>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</si>
  <si>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</si>
  <si>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</si>
  <si>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</si>
  <si>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</si>
  <si>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</si>
  <si>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</si>
  <si>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</si>
  <si>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</si>
  <si>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</si>
  <si>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</si>
  <si>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</si>
  <si>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</si>
  <si>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</si>
  <si>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</si>
  <si>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</si>
  <si>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</si>
  <si>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</si>
  <si>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</si>
  <si>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</si>
  <si>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</si>
  <si>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</si>
  <si>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</si>
  <si>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</si>
  <si>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</si>
  <si>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</si>
  <si>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</si>
  <si>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</si>
  <si>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</si>
  <si>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</si>
  <si>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</si>
  <si>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</si>
  <si>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</si>
  <si>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</si>
  <si>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</si>
  <si>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</si>
  <si>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</si>
  <si>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</si>
  <si>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</si>
  <si>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</si>
  <si>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</si>
  <si>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</si>
  <si>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</si>
  <si>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</si>
  <si>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</si>
  <si>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</si>
  <si>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</si>
  <si>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</si>
  <si>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</si>
  <si>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</si>
  <si>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</si>
  <si>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</si>
  <si>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</si>
  <si>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</si>
  <si>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</si>
  <si>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</si>
  <si>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</si>
  <si>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</si>
  <si>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</si>
  <si>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</si>
  <si>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</si>
  <si>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</si>
  <si>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</si>
  <si>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</si>
  <si>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</si>
  <si>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</si>
  <si>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</si>
  <si>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</si>
  <si>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</si>
  <si>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</si>
  <si>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</si>
  <si>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</si>
  <si>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</si>
  <si>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</si>
  <si>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</si>
  <si>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</si>
  <si>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</si>
  <si>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</si>
  <si>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</si>
  <si>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</si>
  <si>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</si>
  <si>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</si>
  <si>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</si>
  <si>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</si>
  <si>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</si>
  <si>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</si>
  <si>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</si>
  <si>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</si>
  <si>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</si>
  <si>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</si>
  <si>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</si>
  <si>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</si>
  <si>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</si>
  <si>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</si>
  <si>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</si>
  <si>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</si>
  <si>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</si>
  <si>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</si>
  <si>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</si>
  <si>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</si>
  <si>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</si>
  <si>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</si>
  <si>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</si>
  <si>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</si>
  <si>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</si>
  <si>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</si>
  <si>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</si>
  <si>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</si>
  <si>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</si>
  <si>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</si>
  <si>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</si>
  <si>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</si>
  <si>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</si>
  <si>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</si>
  <si>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</si>
  <si>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</si>
  <si>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</si>
  <si>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</si>
  <si>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</si>
  <si>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</si>
  <si>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</si>
  <si>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</si>
  <si>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</si>
  <si>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</si>
  <si>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</si>
  <si>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</si>
  <si>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</si>
  <si>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</si>
  <si>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</si>
  <si>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</si>
  <si>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</si>
  <si>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</si>
  <si>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</si>
  <si>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</si>
  <si>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</si>
  <si>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</si>
  <si>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</si>
  <si>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</si>
  <si>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</si>
  <si>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</si>
  <si>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</si>
  <si>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</si>
  <si>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</si>
  <si>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</si>
  <si>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</si>
  <si>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</si>
  <si>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</si>
  <si>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</si>
  <si>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</si>
  <si>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</si>
  <si>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</si>
  <si>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</si>
  <si>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</si>
  <si>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</si>
  <si>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</si>
  <si>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</si>
  <si>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</si>
  <si>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</si>
  <si>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</si>
  <si>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</si>
  <si>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</si>
  <si>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</si>
  <si>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</si>
  <si>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</si>
  <si>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</si>
  <si>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</si>
  <si>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</si>
  <si>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</si>
  <si>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</si>
  <si>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</si>
  <si>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</si>
  <si>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</si>
  <si>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</si>
  <si>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</si>
  <si>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</si>
  <si>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</si>
  <si>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</si>
  <si>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</si>
  <si>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</si>
  <si>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</si>
  <si>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</si>
  <si>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</si>
  <si>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</si>
  <si>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</si>
  <si>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</si>
  <si>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</si>
  <si>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</si>
  <si>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</si>
  <si>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</si>
  <si>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</si>
  <si>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</si>
  <si>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</si>
  <si>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</si>
  <si>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</si>
  <si>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</si>
  <si>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</si>
  <si>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</si>
  <si>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</si>
  <si>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</si>
  <si>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</si>
  <si>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</si>
  <si>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</si>
  <si>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</si>
  <si>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</si>
  <si>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</si>
  <si>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</si>
  <si>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</si>
  <si>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</si>
  <si>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</si>
  <si>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</si>
  <si>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</si>
  <si>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</si>
  <si>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</si>
  <si>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</si>
  <si>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</si>
  <si>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</si>
  <si>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</si>
  <si>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</si>
  <si>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</si>
  <si>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</si>
  <si>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</si>
  <si>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</si>
  <si>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</si>
  <si>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</si>
  <si>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</si>
  <si>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</si>
  <si>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</si>
  <si>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</si>
  <si>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</si>
  <si>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</si>
  <si>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</si>
  <si>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</si>
  <si>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</si>
  <si>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</si>
  <si>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</si>
  <si>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</si>
  <si>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</si>
  <si>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</si>
  <si>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</si>
  <si>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</si>
  <si>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</si>
  <si>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</si>
  <si>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</si>
  <si>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</si>
  <si>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</si>
  <si>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</si>
  <si>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</si>
  <si>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</si>
  <si>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</si>
  <si>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</si>
  <si>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</si>
  <si>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</si>
  <si>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</si>
  <si>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</si>
  <si>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</si>
  <si>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</si>
  <si>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</si>
  <si>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</si>
  <si>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</si>
  <si>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</si>
  <si>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</si>
  <si>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</si>
  <si>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</si>
  <si>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</si>
  <si>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</si>
  <si>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</si>
  <si>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</si>
  <si>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</si>
  <si>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</si>
  <si>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</si>
  <si>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</si>
  <si>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</si>
  <si>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</si>
  <si>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</si>
  <si>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</si>
  <si>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</si>
  <si>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</si>
  <si>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</si>
  <si>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</si>
  <si>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</si>
  <si>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</si>
  <si>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</si>
  <si>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</si>
  <si>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</si>
  <si>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</si>
  <si>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</si>
  <si>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</si>
  <si>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</si>
  <si>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</si>
  <si>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</si>
  <si>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</si>
  <si>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</si>
  <si>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</si>
  <si>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</si>
  <si>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</si>
  <si>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</si>
  <si>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</si>
  <si>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</si>
  <si>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</si>
  <si>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</si>
  <si>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</si>
  <si>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</si>
  <si>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</si>
  <si>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</si>
  <si>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</si>
  <si>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</si>
  <si>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</si>
  <si>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</si>
  <si>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</si>
  <si>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</si>
  <si>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</si>
  <si>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</si>
  <si>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</si>
  <si>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</si>
  <si>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</si>
  <si>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</si>
  <si>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</si>
  <si>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</si>
  <si>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</si>
  <si>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</si>
  <si>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</si>
  <si>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</si>
  <si>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</si>
  <si>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</si>
  <si>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</si>
  <si>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</si>
  <si>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</si>
  <si>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</si>
  <si>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</si>
  <si>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</si>
  <si>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</si>
  <si>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</si>
  <si>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</si>
  <si>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</si>
  <si>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</si>
  <si>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</si>
  <si>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</si>
  <si>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</si>
  <si>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</si>
  <si>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</si>
  <si>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</si>
  <si>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</si>
  <si>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</si>
  <si>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</si>
  <si>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</si>
  <si>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</si>
  <si>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</si>
  <si>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</si>
  <si>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</si>
  <si>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</si>
  <si>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</si>
  <si>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</si>
  <si>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</si>
  <si>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</si>
  <si>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</si>
  <si>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</si>
  <si>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</si>
  <si>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</si>
  <si>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</si>
  <si>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</si>
  <si>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</si>
  <si>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</si>
  <si>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</si>
  <si>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</si>
  <si>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</si>
  <si>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</si>
  <si>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</si>
  <si>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</si>
  <si>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</si>
  <si>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</si>
  <si>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</si>
  <si>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</si>
  <si>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</si>
  <si>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</si>
  <si>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</si>
  <si>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</si>
  <si>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</si>
  <si>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</si>
  <si>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</si>
  <si>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</si>
  <si>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</si>
  <si>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</si>
  <si>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</si>
  <si>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</si>
  <si>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</si>
  <si>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</si>
  <si>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</si>
  <si>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</si>
  <si>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</si>
  <si>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</si>
  <si>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</si>
  <si>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</si>
  <si>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</si>
  <si>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</si>
  <si>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</si>
  <si>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</si>
  <si>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</si>
  <si>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</si>
  <si>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</si>
  <si>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</si>
  <si>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</si>
  <si>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</si>
  <si>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</si>
  <si>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</si>
  <si>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</si>
  <si>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</si>
  <si>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</si>
  <si>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</si>
  <si>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</si>
  <si>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</si>
  <si>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</si>
  <si>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</si>
  <si>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</si>
  <si>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</si>
  <si>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</si>
  <si>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</si>
  <si>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</si>
  <si>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</si>
  <si>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</si>
  <si>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</si>
  <si>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</si>
  <si>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</si>
  <si>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</si>
  <si>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</si>
  <si>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</si>
  <si>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</si>
  <si>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</si>
  <si>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</si>
  <si>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</si>
  <si>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</si>
  <si>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</si>
  <si>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</si>
  <si>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</si>
  <si>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</si>
  <si>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</si>
  <si>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</si>
  <si>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</si>
  <si>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</si>
  <si>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</si>
  <si>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</si>
  <si>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</si>
  <si>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</si>
  <si>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</si>
  <si>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</si>
  <si>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</si>
  <si>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</si>
  <si>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</si>
  <si>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</si>
  <si>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</si>
  <si>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</si>
  <si>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</si>
  <si>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</si>
  <si>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</si>
  <si>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</si>
  <si>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</si>
  <si>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</si>
  <si>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</si>
  <si>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</si>
  <si>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</si>
  <si>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</si>
  <si>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</si>
  <si>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</si>
  <si>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</si>
  <si>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</si>
  <si>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</si>
  <si>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</si>
  <si>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</si>
  <si>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</si>
  <si>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</si>
  <si>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</si>
  <si>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</si>
  <si>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</si>
  <si>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</si>
  <si>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</si>
  <si>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</si>
  <si>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</si>
  <si>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</si>
  <si>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</si>
  <si>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</si>
  <si>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</si>
  <si>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</si>
  <si>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</si>
  <si>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</si>
  <si>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</si>
  <si>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</si>
  <si>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</si>
  <si>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</si>
  <si>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</si>
  <si>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</si>
  <si>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</si>
  <si>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</si>
  <si>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</si>
  <si>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</si>
  <si>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</si>
  <si>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</si>
  <si>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</si>
  <si>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</si>
  <si>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</si>
  <si>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</si>
  <si>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</si>
  <si>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</si>
  <si>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</si>
  <si>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</si>
  <si>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</si>
  <si>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</si>
  <si>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</si>
  <si>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</si>
  <si>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</si>
  <si>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</si>
  <si>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</si>
  <si>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</si>
  <si>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</si>
  <si>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</si>
  <si>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</si>
  <si>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</si>
  <si>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</si>
  <si>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</si>
  <si>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</si>
  <si>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</si>
  <si>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</si>
  <si>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</si>
  <si>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</si>
  <si>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</si>
  <si>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</si>
  <si>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</si>
  <si>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</si>
  <si>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</si>
  <si>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</si>
  <si>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</si>
  <si>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</si>
  <si>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</si>
  <si>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</si>
  <si>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</si>
  <si>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</si>
  <si>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</si>
  <si>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</si>
  <si>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</si>
  <si>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</si>
  <si>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</si>
  <si>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</si>
  <si>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</si>
  <si>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</si>
  <si>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</si>
  <si>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</si>
  <si>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</si>
  <si>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</si>
  <si>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</si>
  <si>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</si>
  <si>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</si>
  <si>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</si>
  <si>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</si>
  <si>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</si>
  <si>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</si>
  <si>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</si>
  <si>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</si>
  <si>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</si>
  <si>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</si>
  <si>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</si>
  <si>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</si>
  <si>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</si>
  <si>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</si>
  <si>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</si>
  <si>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</si>
  <si>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</si>
  <si>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</si>
  <si>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</si>
  <si>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</si>
  <si>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</si>
  <si>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</si>
  <si>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</si>
  <si>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</si>
  <si>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</si>
  <si>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</si>
  <si>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</si>
  <si>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</si>
  <si>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</si>
  <si>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</si>
  <si>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</si>
  <si>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</si>
  <si>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</si>
  <si>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</si>
  <si>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</si>
  <si>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</si>
  <si>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</si>
  <si>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</si>
  <si>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</si>
  <si>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</si>
  <si>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</si>
  <si>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</si>
  <si>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</si>
  <si>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</si>
  <si>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</si>
  <si>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</si>
  <si>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</si>
  <si>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</si>
  <si>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</si>
  <si>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</si>
  <si>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</si>
  <si>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</si>
  <si>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</si>
  <si>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</si>
  <si>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</si>
  <si>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</si>
  <si>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</si>
  <si>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</si>
  <si>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</si>
  <si>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</si>
  <si>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</si>
  <si>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</si>
  <si>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</si>
  <si>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</si>
  <si>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</si>
  <si>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</si>
  <si>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</si>
  <si>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</si>
  <si>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</si>
  <si>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</si>
  <si>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</si>
  <si>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</si>
  <si>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</si>
  <si>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</si>
  <si>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</si>
  <si>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</si>
  <si>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</si>
  <si>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</si>
  <si>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</si>
  <si>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</si>
  <si>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</si>
  <si>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</si>
  <si>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</si>
  <si>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</si>
  <si>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</si>
  <si>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</si>
  <si>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</si>
  <si>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</si>
  <si>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</si>
  <si>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</si>
  <si>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</si>
  <si>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</si>
  <si>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</si>
  <si>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</si>
  <si>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</si>
  <si>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</si>
  <si>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</si>
  <si>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</si>
  <si>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</si>
  <si>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</si>
  <si>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</si>
  <si>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</si>
  <si>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</si>
  <si>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</si>
  <si>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</si>
  <si>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</si>
  <si>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</si>
  <si>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</si>
  <si>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</si>
  <si>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</si>
  <si>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</si>
  <si>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</si>
  <si>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</si>
  <si>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</si>
  <si>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</si>
  <si>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</si>
  <si>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</si>
  <si>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</si>
  <si>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</si>
  <si>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</si>
  <si>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</si>
  <si>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</si>
  <si>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</si>
  <si>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</si>
  <si>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</si>
  <si>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</si>
  <si>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</si>
  <si>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</si>
  <si>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</si>
  <si>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</si>
  <si>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</si>
  <si>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</si>
  <si>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</si>
  <si>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</si>
  <si>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</si>
  <si>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</si>
  <si>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</si>
  <si>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</si>
  <si>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</si>
  <si>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</si>
  <si>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</si>
  <si>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</si>
  <si>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</si>
  <si>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</si>
  <si>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</si>
  <si>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</si>
  <si>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</si>
  <si>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</si>
  <si>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</si>
  <si>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</si>
  <si>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</si>
  <si>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</si>
  <si>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</si>
  <si>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</si>
  <si>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</si>
  <si>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</si>
  <si>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</si>
  <si>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</si>
  <si>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</si>
  <si>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</si>
  <si>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</si>
  <si>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</si>
  <si>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</si>
  <si>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</si>
  <si>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</si>
  <si>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</si>
  <si>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</si>
  <si>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</si>
  <si>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</si>
  <si>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</si>
  <si>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</si>
  <si>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</si>
  <si>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</si>
  <si>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</si>
  <si>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</si>
  <si>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</si>
  <si>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</si>
  <si>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</si>
  <si>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</si>
  <si>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</si>
  <si>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</si>
  <si>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</si>
  <si>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</si>
  <si>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</si>
  <si>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</si>
  <si>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</si>
  <si>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</si>
  <si>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</si>
  <si>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</si>
  <si>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</si>
  <si>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</si>
  <si>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</si>
  <si>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</si>
  <si>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</si>
  <si>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</si>
  <si>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</si>
  <si>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</si>
  <si>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</si>
  <si>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</si>
  <si>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</si>
  <si>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</si>
  <si>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</si>
  <si>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</si>
  <si>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</si>
  <si>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</si>
  <si>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</si>
  <si>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</si>
  <si>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</si>
  <si>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</si>
  <si>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</si>
  <si>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</si>
  <si>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</si>
  <si>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</si>
  <si>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</si>
  <si>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</si>
  <si>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</si>
  <si>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</si>
  <si>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</si>
  <si>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</si>
  <si>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</si>
  <si>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</si>
  <si>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</si>
  <si>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</si>
  <si>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</si>
  <si>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</si>
  <si>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</si>
  <si>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</si>
  <si>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</si>
  <si>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</si>
  <si>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</si>
  <si>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</si>
  <si>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</si>
  <si>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</si>
  <si>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</si>
  <si>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</si>
  <si>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</si>
  <si>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</si>
  <si>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</si>
  <si>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</si>
  <si>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</si>
  <si>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</si>
  <si>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</si>
  <si>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</si>
  <si>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</si>
  <si>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</si>
  <si>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</si>
  <si>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</si>
  <si>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</si>
  <si>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</si>
  <si>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</si>
  <si>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</si>
  <si>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</si>
  <si>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</si>
  <si>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</si>
  <si>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</si>
  <si>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</si>
  <si>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</si>
  <si>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</si>
  <si>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</si>
  <si>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</si>
  <si>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8devices</t>
  </si>
  <si>
    <t>info@8devices.com</t>
  </si>
  <si>
    <t xml:space="preserve">Jonas Sabaliauskas </t>
  </si>
  <si>
    <t>+37061444116</t>
  </si>
  <si>
    <t>Juozas Sabaliauskas</t>
  </si>
  <si>
    <t>juozas@8devices.com</t>
  </si>
  <si>
    <t>+37060965549</t>
  </si>
  <si>
    <t>Antakalnio g. 17-7</t>
  </si>
  <si>
    <t xml:space="preserve">Panamericana High Way, Km 238.5 , Pisco </t>
  </si>
  <si>
    <t>Mr. José Oré Rivera</t>
  </si>
  <si>
    <t>jose.ore@minsur.com</t>
  </si>
  <si>
    <t>None Required - CFSI certifed conflict free</t>
  </si>
  <si>
    <t>San Rafael, Puno - Peru</t>
  </si>
  <si>
    <t>Puno - Peru</t>
  </si>
  <si>
    <t>http://www.minsur.com/siteAssets/pdf/home/EICC.pdf</t>
  </si>
  <si>
    <t>Jl. Halmahera, Air Ruai</t>
  </si>
  <si>
    <t>Jl. TPI Ketapang, Kel. Temberan - Kec.Bukit Intan, Kawasan Industri</t>
  </si>
  <si>
    <t>Hasan Tjhie</t>
  </si>
  <si>
    <t>venusintiperkasa@yahoo.com</t>
  </si>
  <si>
    <t xml:space="preserve">Rodovia 421, Km 1,1 nº 917 </t>
  </si>
  <si>
    <t>Mr. Vagner Torrente - President</t>
  </si>
  <si>
    <t>dp@torparticipacoes.com.br</t>
  </si>
  <si>
    <t>Private Mines in the Ariquemes Rondonia region of Brazil</t>
  </si>
  <si>
    <t>Brazil</t>
  </si>
  <si>
    <t>http://www.whitesolder.com.br/images/stories/ws_conflict_english.pdf</t>
  </si>
  <si>
    <t>JI. JENDERAL SUDIRMAN KAV.25</t>
  </si>
  <si>
    <t xml:space="preserve">Elin Ling </t>
  </si>
  <si>
    <t>&lt;elinling.49@gmail.com&gt;</t>
  </si>
  <si>
    <t>Kepulauan Riau, Riau Islands</t>
  </si>
  <si>
    <t>Indonesia</t>
  </si>
  <si>
    <t>JL. TPI</t>
  </si>
  <si>
    <t>Mr Irving</t>
  </si>
  <si>
    <t>United Smelting &lt;utdsmelt@yahoo.com&gt;</t>
  </si>
  <si>
    <t>Pangkal Pinang, Bangka Island Indonesia</t>
  </si>
  <si>
    <t>CV United Conflict Metals Policy http://www.conflictfreesourcing.org/media/docs/ConflictMineralsPolicy-CVUnitedSmelting.pdf</t>
  </si>
  <si>
    <t>2368East Enterprise Parkway</t>
  </si>
  <si>
    <t>Stan Rothschild</t>
  </si>
  <si>
    <t>SROTHSCHILD@metallicresources.com</t>
  </si>
  <si>
    <t>Recycled scrap material</t>
  </si>
  <si>
    <t>http://metallicresources.com/</t>
  </si>
  <si>
    <t>2781 Townline Road</t>
  </si>
  <si>
    <t>Anthony Arricale</t>
  </si>
  <si>
    <t>aarricale@unitedpmr.com</t>
  </si>
  <si>
    <t>www.unitedpmr.com</t>
  </si>
  <si>
    <t>Dusun Pelataran RT. 01 Desa Senyubuk Kec. Kelapa Kampit</t>
  </si>
  <si>
    <t>Armansyah</t>
  </si>
  <si>
    <t>info@menaraciptamulia.co.id</t>
  </si>
  <si>
    <t>80 Moo 8 Sakdidej Road, Tambon Vichit</t>
  </si>
  <si>
    <t>Petcharat Ditkaew</t>
  </si>
  <si>
    <t>petcharat@thaisarco.com</t>
  </si>
  <si>
    <t>Thailand  Rwanda</t>
  </si>
  <si>
    <t xml:space="preserve">www.thaisarco.com </t>
  </si>
  <si>
    <t>985-1, Kuchiganaya, Ikuno-cho</t>
  </si>
  <si>
    <t>http://www.mmc.co.jp/corporate/en/</t>
  </si>
  <si>
    <t>Metallo-Chimique N.V.</t>
  </si>
  <si>
    <t>NIEUWE DREEF 33, 2340 BEERSE</t>
  </si>
  <si>
    <t>Ms Inga Hoffkins</t>
  </si>
  <si>
    <t>Inge.Hofkens@metallo.com</t>
  </si>
  <si>
    <t xml:space="preserve">http://www.metallo.com/en/about-metallo/network-of-competencies.html </t>
  </si>
  <si>
    <t>No, but our suppliers have.</t>
  </si>
  <si>
    <t>Based on the information we currently have none of our suppliers source from the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</si>
</sst>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0"/>
      <name val="Cambria"/>
      <family val="1"/>
      <charset val="134"/>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6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0" xfId="0" applyAlignment="1" applyProtection="1">
      <alignment vertical="center" wrapText="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42" xfId="0" applyBorder="1" applyAlignment="1" applyProtection="1">
      <alignment horizontal="left" vertical="center"/>
      <protection locked="0" hidden="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67" xfId="0" applyFont="1" applyFill="1" applyBorder="1" applyAlignment="1" applyProtection="1">
      <alignment horizontal="left" vertical="center" wrapText="1"/>
      <protection locked="0"/>
    </xf>
    <xf numFmtId="0" fontId="0" fillId="0" borderId="65" xfId="0" applyFont="1" applyBorder="1" applyProtection="1">
      <protection locked="0"/>
    </xf>
    <xf numFmtId="0" fontId="0" fillId="0" borderId="68" xfId="0" applyFont="1" applyBorder="1" applyProtection="1">
      <protection locked="0"/>
    </xf>
    <xf numFmtId="0" fontId="0" fillId="0" borderId="65" xfId="0" applyFont="1" applyBorder="1" applyAlignment="1" applyProtection="1">
      <alignment wrapText="1"/>
      <protection locked="0"/>
    </xf>
    <xf numFmtId="0" fontId="50" fillId="0" borderId="0" xfId="0" applyFont="1" applyAlignment="1" applyProtection="1">
      <alignment vertical="center"/>
      <protection locked="0"/>
    </xf>
    <xf numFmtId="0" fontId="0" fillId="2" borderId="65" xfId="0" applyFill="1" applyBorder="1" applyAlignment="1" applyProtection="1">
      <alignment horizontal="left" vertical="center" wrapText="1"/>
      <protection locked="0"/>
    </xf>
    <xf numFmtId="0" fontId="0" fillId="0" borderId="68" xfId="0" applyFont="1" applyBorder="1" applyAlignment="1" applyProtection="1">
      <alignment wrapText="1"/>
      <protection locked="0"/>
    </xf>
    <xf numFmtId="0" fontId="0" fillId="0" borderId="0" xfId="0" applyProtection="1">
      <protection locked="0"/>
    </xf>
    <xf numFmtId="0" fontId="127" fillId="2" borderId="52" xfId="0" applyFont="1" applyFill="1" applyBorder="1" applyAlignment="1" applyProtection="1">
      <alignment horizontal="left" vertical="center" wrapText="1"/>
      <protection locked="0"/>
    </xf>
    <xf numFmtId="0" fontId="127" fillId="2" borderId="1" xfId="0" applyFont="1" applyFill="1" applyBorder="1" applyAlignment="1" applyProtection="1">
      <alignment horizontal="left" vertical="center" wrapText="1"/>
      <protection locked="0"/>
    </xf>
    <xf numFmtId="0" fontId="127" fillId="2" borderId="28" xfId="0" applyFont="1"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4">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fgColor indexed="10"/>
          <bgColor indexed="13"/>
        </patternFill>
      </fill>
    </dxf>
    <dxf>
      <fill>
        <patternFill>
          <fgColor indexed="10"/>
          <bgColor indexed="10"/>
        </patternFill>
      </fill>
    </dxf>
    <dxf>
      <font>
        <b val="0"/>
        <i val="0"/>
      </font>
      <fill>
        <patternFill>
          <fgColor indexed="10"/>
          <bgColor indexed="10"/>
        </patternFill>
      </fill>
    </dxf>
    <dxf>
      <fill>
        <patternFill>
          <fgColor indexed="10"/>
          <bgColor indexed="13"/>
        </patternFill>
      </fill>
    </dxf>
    <dxf>
      <font>
        <b val="0"/>
        <i val="0"/>
        <color indexed="10"/>
      </font>
    </dxf>
    <dxf>
      <font>
        <b val="0"/>
        <i val="0"/>
      </font>
      <fill>
        <patternFill>
          <fgColor indexed="10"/>
          <bgColor indexed="10"/>
        </patternFill>
      </fill>
    </dxf>
    <dxf>
      <fill>
        <patternFill>
          <fgColor indexed="10"/>
          <bgColor indexed="13"/>
        </patternFill>
      </fill>
    </dxf>
    <dxf>
      <fill>
        <patternFill>
          <fgColor indexed="10"/>
          <bgColor indexed="55"/>
        </patternFill>
      </fill>
    </dxf>
    <dxf>
      <fill>
        <patternFill>
          <fgColor indexed="10"/>
          <bgColor indexed="10"/>
        </patternFill>
      </fill>
    </dxf>
    <dxf>
      <fill>
        <patternFill>
          <fgColor indexed="10"/>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8devic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uozas@8devic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B1" zoomScale="80" zoomScaleNormal="80" zoomScalePageLayoutView="80" workbookViewId="0">
      <pane ySplit="2" topLeftCell="A3" activePane="bottomLeft" state="frozen"/>
      <selection pane="bottomLeft" activeCell="B7" sqref="B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34" zoomScaleNormal="100" zoomScalePageLayoutView="70" workbookViewId="0">
      <selection activeCell="G40" sqref="G40:J4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15432</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15427</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15426</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15428</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15429</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7" t="s">
        <v>15430</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15431</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0">
        <v>43411</v>
      </c>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459" t="s">
        <v>15485</v>
      </c>
      <c r="H40" s="460"/>
      <c r="I40" s="460"/>
      <c r="J40" s="46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564</v>
      </c>
      <c r="E69" s="376"/>
      <c r="F69" s="69"/>
      <c r="G69" s="377" t="s">
        <v>15484</v>
      </c>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3" priority="51" stopIfTrue="1">
      <formula>AND(OR($D$26="No",AND($D$26="Yes",$D$32="No")),OR($D$27="No",AND($D$27="Yes",$D$33="No")), OR($D$28="No",AND($D$28="Yes",$D$34="No")), OR($D$29="No",AND($D$29="Yes",$D$35="No")))</formula>
    </cfRule>
    <cfRule type="expression" dxfId="92" priority="52" stopIfTrue="1">
      <formula>IF(D69="",TRUE)</formula>
    </cfRule>
  </conditionalFormatting>
  <conditionalFormatting sqref="G71:J71">
    <cfRule type="expression" dxfId="91" priority="23" stopIfTrue="1">
      <formula>IF(AND($D$71="Yes",$G$71=""),TRUE)</formula>
    </cfRule>
  </conditionalFormatting>
  <conditionalFormatting sqref="D26:E26">
    <cfRule type="expression" dxfId="90" priority="103" stopIfTrue="1">
      <formula>IF($D$26="",TRUE)</formula>
    </cfRule>
  </conditionalFormatting>
  <conditionalFormatting sqref="D27:E27">
    <cfRule type="expression" dxfId="89" priority="110" stopIfTrue="1">
      <formula>IF($D$27="",TRUE)</formula>
    </cfRule>
  </conditionalFormatting>
  <conditionalFormatting sqref="D28:E28">
    <cfRule type="expression" dxfId="88" priority="111" stopIfTrue="1">
      <formula>IF($D$28="",TRUE)</formula>
    </cfRule>
  </conditionalFormatting>
  <conditionalFormatting sqref="D29:E29">
    <cfRule type="expression" dxfId="87" priority="112" stopIfTrue="1">
      <formula>IF($D$29="",TRUE)</formula>
    </cfRule>
  </conditionalFormatting>
  <conditionalFormatting sqref="D8:J8">
    <cfRule type="expression" dxfId="86" priority="117" stopIfTrue="1">
      <formula>IF($D$8="",TRUE)</formula>
    </cfRule>
  </conditionalFormatting>
  <conditionalFormatting sqref="D9:G9">
    <cfRule type="expression" dxfId="85" priority="118" stopIfTrue="1">
      <formula>IF($D$9="",TRUE)</formula>
    </cfRule>
  </conditionalFormatting>
  <conditionalFormatting sqref="D15:J15">
    <cfRule type="expression" dxfId="84" priority="119" stopIfTrue="1">
      <formula>IF($D$15="",TRUE)</formula>
    </cfRule>
  </conditionalFormatting>
  <conditionalFormatting sqref="D16:J16">
    <cfRule type="expression" dxfId="83" priority="120" stopIfTrue="1">
      <formula>IF($D$16="",TRUE)</formula>
    </cfRule>
  </conditionalFormatting>
  <conditionalFormatting sqref="D17:J17">
    <cfRule type="expression" dxfId="82" priority="121" stopIfTrue="1">
      <formula>IF($D$17="",TRUE)</formula>
    </cfRule>
  </conditionalFormatting>
  <conditionalFormatting sqref="D18:J18">
    <cfRule type="expression" dxfId="81" priority="122" stopIfTrue="1">
      <formula>IF($D$18="",TRUE)</formula>
    </cfRule>
  </conditionalFormatting>
  <conditionalFormatting sqref="D22:E22">
    <cfRule type="expression" dxfId="80" priority="125" stopIfTrue="1">
      <formula>IF($D$22="",TRUE)</formula>
    </cfRule>
  </conditionalFormatting>
  <conditionalFormatting sqref="D10:J10">
    <cfRule type="expression" dxfId="79" priority="22" stopIfTrue="1">
      <formula>IF($D$9=$Q$9,TRUE)</formula>
    </cfRule>
    <cfRule type="expression" dxfId="78" priority="132" stopIfTrue="1">
      <formula>IF(AND($D$10="",$D$9=$R$9),TRUE)</formula>
    </cfRule>
  </conditionalFormatting>
  <conditionalFormatting sqref="D34:E34 D40:E40 D46:E46 D52:E52 D58:E58 D64:E64">
    <cfRule type="expression" dxfId="77" priority="15" stopIfTrue="1">
      <formula>$P$28=""</formula>
    </cfRule>
  </conditionalFormatting>
  <conditionalFormatting sqref="D35:E35 D41:E41 D47:E47 D53:E53 D59:E59 D65:E65">
    <cfRule type="expression" dxfId="76" priority="130" stopIfTrue="1">
      <formula>$P$29=""</formula>
    </cfRule>
  </conditionalFormatting>
  <conditionalFormatting sqref="D32:E32">
    <cfRule type="expression" dxfId="75" priority="108" stopIfTrue="1">
      <formula>$P$26=""</formula>
    </cfRule>
  </conditionalFormatting>
  <conditionalFormatting sqref="D32:E32">
    <cfRule type="expression" dxfId="74" priority="21" stopIfTrue="1">
      <formula>IF(AND(OR($D$26="Yes",$D$26=""),$D$32=""),1,0)</formula>
    </cfRule>
  </conditionalFormatting>
  <conditionalFormatting sqref="D38 D44 D50 D56 D62">
    <cfRule type="expression" dxfId="73" priority="17" stopIfTrue="1">
      <formula>$P$32=""</formula>
    </cfRule>
  </conditionalFormatting>
  <conditionalFormatting sqref="D39:E39 D45 D51 D57 D63">
    <cfRule type="expression" dxfId="72" priority="16" stopIfTrue="1">
      <formula>$P$33=""</formula>
    </cfRule>
  </conditionalFormatting>
  <conditionalFormatting sqref="D40 D46 D52 D58 D64">
    <cfRule type="expression" dxfId="71" priority="6" stopIfTrue="1">
      <formula>$P$34=""</formula>
    </cfRule>
    <cfRule type="expression" dxfId="70" priority="128" stopIfTrue="1">
      <formula>IF(AND(OR($D$28="Yes",$D$28=""),D40=""),1,0)</formula>
    </cfRule>
  </conditionalFormatting>
  <conditionalFormatting sqref="D41 D47 D53 D59 D65">
    <cfRule type="expression" dxfId="69" priority="14" stopIfTrue="1">
      <formula>$P$35=""</formula>
    </cfRule>
  </conditionalFormatting>
  <conditionalFormatting sqref="D38:E38 D44:E44 D50:E50 D56:E56 D62:E62">
    <cfRule type="expression" dxfId="68" priority="19" stopIfTrue="1">
      <formula>$P$26=""</formula>
    </cfRule>
    <cfRule type="expression" dxfId="67" priority="20" stopIfTrue="1">
      <formula>IF(AND(OR($D$26="Yes",$D$26=""),D38=""),1,0)</formula>
    </cfRule>
  </conditionalFormatting>
  <conditionalFormatting sqref="G79:J79">
    <cfRule type="expression" dxfId="66" priority="13" stopIfTrue="1">
      <formula>IF(AND($D$79="Yes, using other format (describe)",$G$79=""),TRUE)</formula>
    </cfRule>
  </conditionalFormatting>
  <conditionalFormatting sqref="D39:E39 D45:E45 D51:E51 D57:E57 D63:E63">
    <cfRule type="expression" dxfId="65" priority="126" stopIfTrue="1">
      <formula>$P$39=""</formula>
    </cfRule>
    <cfRule type="expression" dxfId="64" priority="127" stopIfTrue="1">
      <formula>IF(AND(OR($D$27="Yes",$D$27=""),D39=""),1,0)</formula>
    </cfRule>
  </conditionalFormatting>
  <conditionalFormatting sqref="D33:E33">
    <cfRule type="expression" dxfId="63" priority="8" stopIfTrue="1">
      <formula>IF(AND(OR($D$27="Yes",$D$27=""),$D$33=""),1,0)</formula>
    </cfRule>
    <cfRule type="expression" dxfId="62" priority="9" stopIfTrue="1">
      <formula>$P$27=""</formula>
    </cfRule>
  </conditionalFormatting>
  <conditionalFormatting sqref="D34:E34">
    <cfRule type="expression" dxfId="61" priority="129" stopIfTrue="1">
      <formula>IF(AND(OR($D$28="Yes",$D$28=""),$D$34=""),1,0)</formula>
    </cfRule>
  </conditionalFormatting>
  <conditionalFormatting sqref="D41:E41 D47:E47 D53:E53 D59:E59 D65:E65">
    <cfRule type="expression" dxfId="60" priority="131" stopIfTrue="1">
      <formula>IF(AND(OR($D$29="Yes",$D$29=""),D41=""),1,0)</formula>
    </cfRule>
  </conditionalFormatting>
  <conditionalFormatting sqref="D35:E35">
    <cfRule type="expression" dxfId="59" priority="5" stopIfTrue="1">
      <formula>IF(AND(OR($D$29="Yes",$D$29=""),$D$35=""),1,0)</formula>
    </cfRule>
  </conditionalFormatting>
  <conditionalFormatting sqref="D20:J20">
    <cfRule type="expression" dxfId="58" priority="1" stopIfTrue="1">
      <formula>IF($D$20="",TRUE)</formula>
    </cfRule>
  </conditionalFormatting>
  <conditionalFormatting sqref="D21:J21">
    <cfRule type="expression" dxfId="57"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8840C715-238A-4960-8812-B25016E39281}"/>
    <hyperlink ref="D20" r:id="rId4" xr:uid="{AE009767-877F-4E88-9EB4-D4FC3DE336BB}"/>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2" zoomScaleNormal="100" zoomScalePageLayoutView="55" workbookViewId="0">
      <pane ySplit="3" topLeftCell="A20" activePane="bottomLeft" state="frozen"/>
      <selection activeCell="A2" sqref="A2"/>
      <selection pane="bottomLeft" activeCell="C37" sqref="C3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5.5">
      <c r="A5" s="445" t="s">
        <v>910</v>
      </c>
      <c r="B5" s="236" t="s">
        <v>1264</v>
      </c>
      <c r="C5" s="242" t="s">
        <v>2632</v>
      </c>
      <c r="D5" s="236"/>
      <c r="E5" s="236" t="s">
        <v>1232</v>
      </c>
      <c r="F5" s="236" t="s">
        <v>910</v>
      </c>
      <c r="G5" s="236" t="s">
        <v>14673</v>
      </c>
      <c r="H5" s="237">
        <v>0</v>
      </c>
      <c r="I5" s="238" t="s">
        <v>3171</v>
      </c>
      <c r="J5" s="238" t="s">
        <v>1830</v>
      </c>
      <c r="K5" s="240"/>
      <c r="L5" s="240"/>
      <c r="M5" s="240"/>
      <c r="N5" s="240"/>
      <c r="O5" s="240"/>
      <c r="P5" s="239"/>
      <c r="Q5" s="241"/>
      <c r="R5" s="236" t="str">
        <f ca="1">IF(ISERROR($V5),"",OFFSET('Smelter Look-up'!$C$4,$V5-4,0)&amp;"")</f>
        <v>Yunnan Chengfeng Non-ferrous Metals Co., Ltd.</v>
      </c>
      <c r="S5" s="250" t="str">
        <f t="shared" ref="S5:S58" ca="1" si="0">IF(B5="","",IF(ISERROR(MATCH($E5,CL,0)),"Unknown",INDIRECT("'C'!$A$"&amp;MATCH($E5,CL,0)+1)))</f>
        <v>CN</v>
      </c>
      <c r="T5" s="250" t="str">
        <f ca="1">IF(B5="","",IF(ISERROR(MATCH($J5,SorP!$B$1:$B$6230,0)),"",INDIRECT("'SorP'!$A$"&amp;MATCH($J5,SorP!$B$1:$B$6230,0))))</f>
        <v>CN-53</v>
      </c>
      <c r="U5" s="280"/>
      <c r="V5" s="281">
        <f>IF(C5="",NA(),MATCH($B5&amp;$C5,'Smelter Look-up'!$J:$J,0))</f>
        <v>498</v>
      </c>
      <c r="W5" s="282"/>
      <c r="X5" s="282">
        <f t="shared" ref="X5:X58" si="1">IF(AND(C5="Smelter not listed",OR(LEN(D5)=0,LEN(E5)=0)),1,0)</f>
        <v>0</v>
      </c>
      <c r="Y5" s="282"/>
      <c r="Z5" s="282"/>
      <c r="AB5" s="284" t="str">
        <f t="shared" ref="AB5:AB58" si="2">B5&amp;C5</f>
        <v>TinYunnan Chengfeng Non-ferrous Metals Co., Ltd.</v>
      </c>
    </row>
    <row r="6" spans="1:34" s="283" customFormat="1" ht="25.5">
      <c r="A6" s="445" t="s">
        <v>846</v>
      </c>
      <c r="B6" s="446" t="s">
        <v>1263</v>
      </c>
      <c r="C6" s="447" t="s">
        <v>1471</v>
      </c>
      <c r="D6" s="446"/>
      <c r="E6" s="446" t="s">
        <v>1232</v>
      </c>
      <c r="F6" s="446" t="s">
        <v>846</v>
      </c>
      <c r="G6" s="446" t="s">
        <v>14673</v>
      </c>
      <c r="H6" s="237">
        <v>0</v>
      </c>
      <c r="I6" s="238" t="s">
        <v>1966</v>
      </c>
      <c r="J6" s="238" t="s">
        <v>1882</v>
      </c>
      <c r="K6" s="240"/>
      <c r="L6" s="240"/>
      <c r="M6" s="240"/>
      <c r="N6" s="240"/>
      <c r="O6" s="240"/>
      <c r="P6" s="239"/>
      <c r="Q6" s="241"/>
      <c r="R6" s="236" t="str">
        <f ca="1">IF(ISERROR($V6),"",OFFSET('Smelter Look-up'!$C$4,$V6-4,0)&amp;"")</f>
        <v>Zhongyuan Gold Smelter of Zhongjin Gold Corporation</v>
      </c>
      <c r="S6" s="250" t="str">
        <f t="shared" ca="1" si="0"/>
        <v>CN</v>
      </c>
      <c r="T6" s="250" t="str">
        <f ca="1">IF(B6="","",IF(ISERROR(MATCH($J6,SorP!$B$1:$B$6230,0)),"",INDIRECT("'SorP'!$A$"&amp;MATCH($J6,SorP!$B$1:$B$6230,0))))</f>
        <v>CN-41</v>
      </c>
      <c r="U6" s="280"/>
      <c r="V6" s="281">
        <f>IF(C6="",NA(),MATCH($B6&amp;$C6,'Smelter Look-up'!$J:$J,0))</f>
        <v>277</v>
      </c>
      <c r="W6" s="282"/>
      <c r="X6" s="282">
        <f t="shared" si="1"/>
        <v>0</v>
      </c>
      <c r="Y6" s="282"/>
      <c r="Z6" s="282"/>
      <c r="AB6" s="284" t="str">
        <f t="shared" si="2"/>
        <v>GoldZhongyuan Gold Smelter of Zhongjin Gold Corporation</v>
      </c>
    </row>
    <row r="7" spans="1:34" s="283" customFormat="1" ht="20.25">
      <c r="A7" s="445" t="s">
        <v>911</v>
      </c>
      <c r="B7" s="446" t="s">
        <v>1264</v>
      </c>
      <c r="C7" s="447" t="s">
        <v>3033</v>
      </c>
      <c r="D7" s="446"/>
      <c r="E7" s="446" t="s">
        <v>1232</v>
      </c>
      <c r="F7" s="446" t="s">
        <v>911</v>
      </c>
      <c r="G7" s="446" t="s">
        <v>14673</v>
      </c>
      <c r="H7" s="237">
        <v>0</v>
      </c>
      <c r="I7" s="238" t="s">
        <v>3171</v>
      </c>
      <c r="J7" s="238" t="s">
        <v>1830</v>
      </c>
      <c r="K7" s="240"/>
      <c r="L7" s="240"/>
      <c r="M7" s="240"/>
      <c r="N7" s="240"/>
      <c r="O7" s="240"/>
      <c r="P7" s="239"/>
      <c r="Q7" s="241"/>
      <c r="R7" s="236" t="str">
        <f ca="1">IF(ISERROR($V7),"",OFFSET('Smelter Look-up'!$C$4,$V7-4,0)&amp;"")</f>
        <v>Yunnan Tin Company Limited</v>
      </c>
      <c r="S7" s="250" t="str">
        <f t="shared" ca="1" si="0"/>
        <v>CN</v>
      </c>
      <c r="T7" s="250" t="str">
        <f ca="1">IF(B7="","",IF(ISERROR(MATCH($J7,SorP!$B$1:$B$6230,0)),"",INDIRECT("'SorP'!$A$"&amp;MATCH($J7,SorP!$B$1:$B$6230,0))))</f>
        <v>CN-53</v>
      </c>
      <c r="U7" s="280"/>
      <c r="V7" s="281">
        <f>IF(C7="",NA(),MATCH($B7&amp;$C7,'Smelter Look-up'!$J:$J,0))</f>
        <v>502</v>
      </c>
      <c r="W7" s="282"/>
      <c r="X7" s="282">
        <f t="shared" si="1"/>
        <v>0</v>
      </c>
      <c r="Y7" s="282"/>
      <c r="Z7" s="282"/>
      <c r="AB7" s="284" t="str">
        <f t="shared" si="2"/>
        <v>TinYunnan Tin Company Limited</v>
      </c>
    </row>
    <row r="8" spans="1:34" s="283" customFormat="1" ht="25.5">
      <c r="A8" s="445" t="s">
        <v>828</v>
      </c>
      <c r="B8" s="446" t="s">
        <v>1263</v>
      </c>
      <c r="C8" s="447" t="s">
        <v>2623</v>
      </c>
      <c r="D8" s="446"/>
      <c r="E8" s="446" t="s">
        <v>1232</v>
      </c>
      <c r="F8" s="446" t="s">
        <v>828</v>
      </c>
      <c r="G8" s="446" t="s">
        <v>14673</v>
      </c>
      <c r="H8" s="237">
        <v>0</v>
      </c>
      <c r="I8" s="238" t="s">
        <v>1850</v>
      </c>
      <c r="J8" s="238" t="s">
        <v>1914</v>
      </c>
      <c r="K8" s="240"/>
      <c r="L8" s="240"/>
      <c r="M8" s="240"/>
      <c r="N8" s="240"/>
      <c r="O8" s="240"/>
      <c r="P8" s="239"/>
      <c r="Q8" s="241"/>
      <c r="R8" s="236" t="str">
        <f ca="1">IF(ISERROR($V8),"",OFFSET('Smelter Look-up'!$C$4,$V8-4,0)&amp;"")</f>
        <v>Shandong Zhaojin Gold &amp; Silver Refinery Co., Ltd.</v>
      </c>
      <c r="S8" s="250" t="str">
        <f t="shared" ca="1" si="0"/>
        <v>CN</v>
      </c>
      <c r="T8" s="250" t="str">
        <f ca="1">IF(B8="","",IF(ISERROR(MATCH($J8,SorP!$B$1:$B$6230,0)),"",INDIRECT("'SorP'!$A$"&amp;MATCH($J8,SorP!$B$1:$B$6230,0))))</f>
        <v>CN-37</v>
      </c>
      <c r="U8" s="280"/>
      <c r="V8" s="281">
        <f>IF(C8="",NA(),MATCH($B8&amp;$C8,'Smelter Look-up'!$J:$J,0))</f>
        <v>212</v>
      </c>
      <c r="W8" s="282"/>
      <c r="X8" s="282">
        <f t="shared" si="1"/>
        <v>0</v>
      </c>
      <c r="Y8" s="282"/>
      <c r="Z8" s="282"/>
      <c r="AB8" s="284" t="str">
        <f t="shared" si="2"/>
        <v>GoldShandong Zhaojin Gold &amp; Silver Refinery Co., Ltd.</v>
      </c>
    </row>
    <row r="9" spans="1:34" s="283" customFormat="1" ht="20.25">
      <c r="A9" s="445" t="s">
        <v>748</v>
      </c>
      <c r="B9" s="446" t="s">
        <v>1263</v>
      </c>
      <c r="C9" s="447" t="s">
        <v>59</v>
      </c>
      <c r="D9" s="446"/>
      <c r="E9" s="446" t="s">
        <v>1234</v>
      </c>
      <c r="F9" s="446" t="s">
        <v>748</v>
      </c>
      <c r="G9" s="446" t="s">
        <v>14673</v>
      </c>
      <c r="H9" s="237">
        <v>0</v>
      </c>
      <c r="I9" s="238" t="s">
        <v>1804</v>
      </c>
      <c r="J9" s="238" t="s">
        <v>1805</v>
      </c>
      <c r="K9" s="240"/>
      <c r="L9" s="240"/>
      <c r="M9" s="240"/>
      <c r="N9" s="240"/>
      <c r="O9" s="240"/>
      <c r="P9" s="239"/>
      <c r="Q9" s="241"/>
      <c r="R9" s="236" t="str">
        <f ca="1">IF(ISERROR($V9),"",OFFSET('Smelter Look-up'!$C$4,$V9-4,0)&amp;"")</f>
        <v>Allgemeine Gold-und Silberscheideanstalt A.G.</v>
      </c>
      <c r="S9" s="250" t="str">
        <f t="shared" ca="1" si="0"/>
        <v>DE</v>
      </c>
      <c r="T9" s="250" t="str">
        <f ca="1">IF(B9="","",IF(ISERROR(MATCH($J9,SorP!$B$1:$B$6230,0)),"",INDIRECT("'SorP'!$A$"&amp;MATCH($J9,SorP!$B$1:$B$6230,0))))</f>
        <v>DE-BW</v>
      </c>
      <c r="U9" s="280"/>
      <c r="V9" s="281">
        <f>IF(C9="",NA(),MATCH($B9&amp;$C9,'Smelter Look-up'!$J:$J,0))</f>
        <v>13</v>
      </c>
      <c r="W9" s="282"/>
      <c r="X9" s="282">
        <f t="shared" si="1"/>
        <v>0</v>
      </c>
      <c r="Y9" s="282"/>
      <c r="Z9" s="282"/>
      <c r="AB9" s="284" t="str">
        <f t="shared" si="2"/>
        <v>GoldAllgemeine Gold-und Silberscheideanstalt A.G.</v>
      </c>
    </row>
    <row r="10" spans="1:34" s="283" customFormat="1" ht="20.25">
      <c r="A10" s="445" t="s">
        <v>869</v>
      </c>
      <c r="B10" s="446" t="s">
        <v>1264</v>
      </c>
      <c r="C10" s="447" t="s">
        <v>2054</v>
      </c>
      <c r="D10" s="446"/>
      <c r="E10" s="446" t="s">
        <v>1232</v>
      </c>
      <c r="F10" s="446" t="s">
        <v>869</v>
      </c>
      <c r="G10" s="446" t="s">
        <v>14673</v>
      </c>
      <c r="H10" s="237">
        <v>0</v>
      </c>
      <c r="I10" s="238" t="s">
        <v>2032</v>
      </c>
      <c r="J10" s="238" t="s">
        <v>1866</v>
      </c>
      <c r="K10" s="240"/>
      <c r="L10" s="240"/>
      <c r="M10" s="240"/>
      <c r="N10" s="240"/>
      <c r="O10" s="240"/>
      <c r="P10" s="239"/>
      <c r="Q10" s="241"/>
      <c r="R10" s="236" t="str">
        <f ca="1">IF(ISERROR($V10),"",OFFSET('Smelter Look-up'!$C$4,$V10-4,0)&amp;"")</f>
        <v>Jiangxi Ketai Advanced Material Co., Ltd.</v>
      </c>
      <c r="S10" s="250" t="str">
        <f t="shared" ca="1" si="0"/>
        <v>CN</v>
      </c>
      <c r="T10" s="250" t="str">
        <f ca="1">IF(B10="","",IF(ISERROR(MATCH($J10,SorP!$B$1:$B$6230,0)),"",INDIRECT("'SorP'!$A$"&amp;MATCH($J10,SorP!$B$1:$B$6230,0))))</f>
        <v>CN-36</v>
      </c>
      <c r="U10" s="280"/>
      <c r="V10" s="281">
        <f>IF(C10="",NA(),MATCH($B10&amp;$C10,'Smelter Look-up'!$J:$J,0))</f>
        <v>408</v>
      </c>
      <c r="W10" s="282"/>
      <c r="X10" s="282">
        <f t="shared" si="1"/>
        <v>0</v>
      </c>
      <c r="Y10" s="282"/>
      <c r="Z10" s="282"/>
      <c r="AB10" s="284" t="str">
        <f t="shared" si="2"/>
        <v>TinJiangxi Ketai Advanced Material Co., Ltd.</v>
      </c>
    </row>
    <row r="11" spans="1:34" s="283" customFormat="1" ht="25.5">
      <c r="A11" s="445" t="s">
        <v>834</v>
      </c>
      <c r="B11" s="446" t="s">
        <v>1263</v>
      </c>
      <c r="C11" s="447" t="s">
        <v>2626</v>
      </c>
      <c r="D11" s="446"/>
      <c r="E11" s="446" t="s">
        <v>1232</v>
      </c>
      <c r="F11" s="446" t="s">
        <v>834</v>
      </c>
      <c r="G11" s="446" t="s">
        <v>14673</v>
      </c>
      <c r="H11" s="237">
        <v>0</v>
      </c>
      <c r="I11" s="238" t="s">
        <v>1931</v>
      </c>
      <c r="J11" s="238" t="s">
        <v>1914</v>
      </c>
      <c r="K11" s="240"/>
      <c r="L11" s="240"/>
      <c r="M11" s="240"/>
      <c r="N11" s="240"/>
      <c r="O11" s="240"/>
      <c r="P11" s="239"/>
      <c r="Q11" s="241"/>
      <c r="R11" s="236" t="str">
        <f ca="1">IF(ISERROR($V11),"",OFFSET('Smelter Look-up'!$C$4,$V11-4,0)&amp;"")</f>
        <v>The Refinery of Shandong Gold Mining Co., Ltd.</v>
      </c>
      <c r="S11" s="250" t="str">
        <f t="shared" ca="1" si="0"/>
        <v>CN</v>
      </c>
      <c r="T11" s="250" t="str">
        <f ca="1">IF(B11="","",IF(ISERROR(MATCH($J11,SorP!$B$1:$B$6230,0)),"",INDIRECT("'SorP'!$A$"&amp;MATCH($J11,SorP!$B$1:$B$6230,0))))</f>
        <v>CN-37</v>
      </c>
      <c r="U11" s="280"/>
      <c r="V11" s="281">
        <f>IF(C11="",NA(),MATCH($B11&amp;$C11,'Smelter Look-up'!$J:$J,0))</f>
        <v>243</v>
      </c>
      <c r="W11" s="282"/>
      <c r="X11" s="282">
        <f t="shared" si="1"/>
        <v>0</v>
      </c>
      <c r="Y11" s="282"/>
      <c r="Z11" s="282"/>
      <c r="AB11" s="284" t="str">
        <f t="shared" si="2"/>
        <v>GoldThe Refinery of Shandong Gold Mining Co., Ltd.</v>
      </c>
    </row>
    <row r="12" spans="1:34" s="283" customFormat="1" ht="20.25">
      <c r="A12" s="445" t="s">
        <v>798</v>
      </c>
      <c r="B12" s="446" t="s">
        <v>1263</v>
      </c>
      <c r="C12" s="447" t="s">
        <v>63</v>
      </c>
      <c r="D12" s="446"/>
      <c r="E12" s="446" t="s">
        <v>1244</v>
      </c>
      <c r="F12" s="446" t="s">
        <v>798</v>
      </c>
      <c r="G12" s="446" t="s">
        <v>14673</v>
      </c>
      <c r="H12" s="237">
        <v>0</v>
      </c>
      <c r="I12" s="238" t="s">
        <v>1883</v>
      </c>
      <c r="J12" s="238" t="s">
        <v>14237</v>
      </c>
      <c r="K12" s="240"/>
      <c r="L12" s="240"/>
      <c r="M12" s="240"/>
      <c r="N12" s="240"/>
      <c r="O12" s="240"/>
      <c r="P12" s="239"/>
      <c r="Q12" s="241"/>
      <c r="R12" s="236" t="str">
        <f ca="1">IF(ISERROR($V12),"",OFFSET('Smelter Look-up'!$C$4,$V12-4,0)&amp;"")</f>
        <v>LS-NIKKO Copper Inc.</v>
      </c>
      <c r="S12" s="250" t="str">
        <f t="shared" ca="1" si="0"/>
        <v>KR</v>
      </c>
      <c r="T12" s="250" t="str">
        <f ca="1">IF(B12="","",IF(ISERROR(MATCH($J12,SorP!$B$1:$B$6230,0)),"",INDIRECT("'SorP'!$A$"&amp;MATCH($J12,SorP!$B$1:$B$6230,0))))</f>
        <v>KR-31</v>
      </c>
      <c r="U12" s="280"/>
      <c r="V12" s="281">
        <f>IF(C12="",NA(),MATCH($B12&amp;$C12,'Smelter Look-up'!$J:$J,0))</f>
        <v>130</v>
      </c>
      <c r="W12" s="282"/>
      <c r="X12" s="282">
        <f t="shared" si="1"/>
        <v>0</v>
      </c>
      <c r="Y12" s="282"/>
      <c r="Z12" s="282"/>
      <c r="AB12" s="284" t="str">
        <f t="shared" si="2"/>
        <v>GoldLS-NIKKO Copper Inc.</v>
      </c>
    </row>
    <row r="13" spans="1:34" s="283" customFormat="1" ht="20.25">
      <c r="A13" s="445" t="s">
        <v>882</v>
      </c>
      <c r="B13" s="446" t="s">
        <v>1264</v>
      </c>
      <c r="C13" s="447" t="s">
        <v>946</v>
      </c>
      <c r="D13" s="446"/>
      <c r="E13" s="446" t="s">
        <v>1248</v>
      </c>
      <c r="F13" s="446" t="s">
        <v>882</v>
      </c>
      <c r="G13" s="446" t="s">
        <v>14673</v>
      </c>
      <c r="H13" s="237">
        <v>0</v>
      </c>
      <c r="I13" s="238" t="s">
        <v>2081</v>
      </c>
      <c r="J13" s="238" t="s">
        <v>9781</v>
      </c>
      <c r="K13" s="240"/>
      <c r="L13" s="240"/>
      <c r="M13" s="240"/>
      <c r="N13" s="240"/>
      <c r="O13" s="240"/>
      <c r="P13" s="239"/>
      <c r="Q13" s="241"/>
      <c r="R13" s="236" t="str">
        <f ca="1">IF(ISERROR($V13),"",OFFSET('Smelter Look-up'!$C$4,$V13-4,0)&amp;"")</f>
        <v>Malaysia Smelting Corporation (MSC)</v>
      </c>
      <c r="S13" s="250" t="str">
        <f t="shared" ca="1" si="0"/>
        <v>MY</v>
      </c>
      <c r="T13" s="250" t="str">
        <f ca="1">IF(B13="","",IF(ISERROR(MATCH($J13,SorP!$B$1:$B$6230,0)),"",INDIRECT("'SorP'!$A$"&amp;MATCH($J13,SorP!$B$1:$B$6230,0))))</f>
        <v>MY-07</v>
      </c>
      <c r="U13" s="280"/>
      <c r="V13" s="281">
        <f>IF(C13="",NA(),MATCH($B13&amp;$C13,'Smelter Look-up'!$J:$J,0))</f>
        <v>418</v>
      </c>
      <c r="W13" s="282"/>
      <c r="X13" s="282">
        <f t="shared" si="1"/>
        <v>0</v>
      </c>
      <c r="Y13" s="282"/>
      <c r="Z13" s="282"/>
      <c r="AB13" s="284" t="str">
        <f t="shared" si="2"/>
        <v>TinMalaysia Smelting Corporation (MSC)</v>
      </c>
    </row>
    <row r="14" spans="1:34" s="283" customFormat="1" ht="20.25">
      <c r="A14" s="445" t="s">
        <v>805</v>
      </c>
      <c r="B14" s="446" t="s">
        <v>1263</v>
      </c>
      <c r="C14" s="447" t="s">
        <v>2988</v>
      </c>
      <c r="D14" s="446"/>
      <c r="E14" s="446" t="s">
        <v>1230</v>
      </c>
      <c r="F14" s="446" t="s">
        <v>805</v>
      </c>
      <c r="G14" s="446" t="s">
        <v>14673</v>
      </c>
      <c r="H14" s="237">
        <v>0</v>
      </c>
      <c r="I14" s="238" t="s">
        <v>1893</v>
      </c>
      <c r="J14" s="238" t="s">
        <v>1894</v>
      </c>
      <c r="K14" s="240"/>
      <c r="L14" s="240"/>
      <c r="M14" s="240"/>
      <c r="N14" s="240"/>
      <c r="O14" s="240"/>
      <c r="P14" s="239"/>
      <c r="Q14" s="241"/>
      <c r="R14" s="236" t="str">
        <f ca="1">IF(ISERROR($V14),"",OFFSET('Smelter Look-up'!$C$4,$V14-4,0)&amp;"")</f>
        <v>Metalor Technologies S.A.</v>
      </c>
      <c r="S14" s="250" t="str">
        <f t="shared" ca="1" si="0"/>
        <v>CH</v>
      </c>
      <c r="T14" s="250" t="str">
        <f ca="1">IF(B14="","",IF(ISERROR(MATCH($J14,SorP!$B$1:$B$6230,0)),"",INDIRECT("'SorP'!$A$"&amp;MATCH($J14,SorP!$B$1:$B$6230,0))))</f>
        <v>CH-NE</v>
      </c>
      <c r="U14" s="280"/>
      <c r="V14" s="281">
        <f>IF(C14="",NA(),MATCH($B14&amp;$C14,'Smelter Look-up'!$J:$J,0))</f>
        <v>144</v>
      </c>
      <c r="W14" s="282"/>
      <c r="X14" s="282">
        <f t="shared" si="1"/>
        <v>0</v>
      </c>
      <c r="Y14" s="282"/>
      <c r="Z14" s="282"/>
      <c r="AB14" s="284" t="str">
        <f t="shared" si="2"/>
        <v>GoldMetalor Technologies S.A.</v>
      </c>
    </row>
    <row r="15" spans="1:34" s="283" customFormat="1" ht="20.25">
      <c r="A15" s="445" t="s">
        <v>884</v>
      </c>
      <c r="B15" s="446" t="s">
        <v>1264</v>
      </c>
      <c r="C15" s="447" t="s">
        <v>1163</v>
      </c>
      <c r="D15" s="446"/>
      <c r="E15" s="446" t="s">
        <v>1008</v>
      </c>
      <c r="F15" s="446" t="s">
        <v>884</v>
      </c>
      <c r="G15" s="446" t="s">
        <v>14673</v>
      </c>
      <c r="H15" s="237">
        <v>0</v>
      </c>
      <c r="I15" s="238" t="s">
        <v>2086</v>
      </c>
      <c r="J15" s="238" t="s">
        <v>10244</v>
      </c>
      <c r="K15" s="240"/>
      <c r="L15" s="240"/>
      <c r="M15" s="240"/>
      <c r="N15" s="240"/>
      <c r="O15" s="240"/>
      <c r="P15" s="239"/>
      <c r="Q15" s="241"/>
      <c r="R15" s="236" t="str">
        <f ca="1">IF(ISERROR($V15),"",OFFSET('Smelter Look-up'!$C$4,$V15-4,0)&amp;"")</f>
        <v>Minsur</v>
      </c>
      <c r="S15" s="250" t="str">
        <f t="shared" ca="1" si="0"/>
        <v>PE</v>
      </c>
      <c r="T15" s="250" t="str">
        <f ca="1">IF(B15="","",IF(ISERROR(MATCH($J15,SorP!$B$1:$B$6230,0)),"",INDIRECT("'SorP'!$A$"&amp;MATCH($J15,SorP!$B$1:$B$6230,0))))</f>
        <v>PE-ICA</v>
      </c>
      <c r="U15" s="280"/>
      <c r="V15" s="281">
        <f>IF(C15="",NA(),MATCH($B15&amp;$C15,'Smelter Look-up'!$J:$J,0))</f>
        <v>428</v>
      </c>
      <c r="W15" s="282"/>
      <c r="X15" s="282">
        <f t="shared" si="1"/>
        <v>0</v>
      </c>
      <c r="Y15" s="282"/>
      <c r="Z15" s="282"/>
      <c r="AB15" s="284" t="str">
        <f t="shared" si="2"/>
        <v>TinMinsur</v>
      </c>
    </row>
    <row r="16" spans="1:34" s="283" customFormat="1" ht="20.25">
      <c r="A16" s="445" t="s">
        <v>926</v>
      </c>
      <c r="B16" s="446" t="s">
        <v>1264</v>
      </c>
      <c r="C16" s="447" t="s">
        <v>2098</v>
      </c>
      <c r="D16" s="446"/>
      <c r="E16" s="446" t="s">
        <v>1238</v>
      </c>
      <c r="F16" s="446" t="s">
        <v>926</v>
      </c>
      <c r="G16" s="446" t="s">
        <v>14673</v>
      </c>
      <c r="H16" s="237">
        <v>0</v>
      </c>
      <c r="I16" s="238" t="s">
        <v>2099</v>
      </c>
      <c r="J16" s="238" t="s">
        <v>6950</v>
      </c>
      <c r="K16" s="240"/>
      <c r="L16" s="240"/>
      <c r="M16" s="240"/>
      <c r="N16" s="240"/>
      <c r="O16" s="240"/>
      <c r="P16" s="239"/>
      <c r="Q16" s="241"/>
      <c r="R16" s="236" t="str">
        <f ca="1">IF(ISERROR($V16),"",OFFSET('Smelter Look-up'!$C$4,$V16-4,0)&amp;"")</f>
        <v>PT Timah (Persero) Tbk Kundur</v>
      </c>
      <c r="S16" s="250" t="str">
        <f t="shared" ca="1" si="0"/>
        <v>ID</v>
      </c>
      <c r="T16" s="250" t="str">
        <f ca="1">IF(B16="","",IF(ISERROR(MATCH($J16,SorP!$B$1:$B$6230,0)),"",INDIRECT("'SorP'!$A$"&amp;MATCH($J16,SorP!$B$1:$B$6230,0))))</f>
        <v>ID-RI</v>
      </c>
      <c r="U16" s="280"/>
      <c r="V16" s="281">
        <f>IF(C16="",NA(),MATCH($B16&amp;$C16,'Smelter Look-up'!$J:$J,0))</f>
        <v>469</v>
      </c>
      <c r="W16" s="282"/>
      <c r="X16" s="282">
        <f t="shared" si="1"/>
        <v>0</v>
      </c>
      <c r="Y16" s="282"/>
      <c r="Z16" s="282"/>
      <c r="AB16" s="284" t="str">
        <f t="shared" si="2"/>
        <v>TinPT Timah (Persero) Tbk Kundur</v>
      </c>
    </row>
    <row r="17" spans="1:28" s="283" customFormat="1" ht="25.5">
      <c r="A17" s="445" t="s">
        <v>839</v>
      </c>
      <c r="B17" s="446" t="s">
        <v>1263</v>
      </c>
      <c r="C17" s="447" t="s">
        <v>3015</v>
      </c>
      <c r="D17" s="446"/>
      <c r="E17" s="446" t="s">
        <v>1227</v>
      </c>
      <c r="F17" s="446" t="s">
        <v>839</v>
      </c>
      <c r="G17" s="446" t="s">
        <v>14673</v>
      </c>
      <c r="H17" s="237">
        <v>0</v>
      </c>
      <c r="I17" s="238" t="s">
        <v>1955</v>
      </c>
      <c r="J17" s="238" t="s">
        <v>3920</v>
      </c>
      <c r="K17" s="240"/>
      <c r="L17" s="240"/>
      <c r="M17" s="240"/>
      <c r="N17" s="240"/>
      <c r="O17" s="240"/>
      <c r="P17" s="239"/>
      <c r="Q17" s="241"/>
      <c r="R17" s="236" t="str">
        <f ca="1">IF(ISERROR($V17),"",OFFSET('Smelter Look-up'!$C$4,$V17-4,0)&amp;"")</f>
        <v>Umicore S.A. Business Unit Precious Metals Refining</v>
      </c>
      <c r="S17" s="250" t="str">
        <f t="shared" ca="1" si="0"/>
        <v>BE</v>
      </c>
      <c r="T17" s="250" t="str">
        <f ca="1">IF(B17="","",IF(ISERROR(MATCH($J17,SorP!$B$1:$B$6230,0)),"",INDIRECT("'SorP'!$A$"&amp;MATCH($J17,SorP!$B$1:$B$6230,0))))</f>
        <v>BE-VAN</v>
      </c>
      <c r="U17" s="280"/>
      <c r="V17" s="281">
        <f>IF(C17="",NA(),MATCH($B17&amp;$C17,'Smelter Look-up'!$J:$J,0))</f>
        <v>254</v>
      </c>
      <c r="W17" s="282"/>
      <c r="X17" s="282">
        <f t="shared" si="1"/>
        <v>0</v>
      </c>
      <c r="Y17" s="282"/>
      <c r="Z17" s="282"/>
      <c r="AB17" s="284" t="str">
        <f t="shared" si="2"/>
        <v>GoldUmicore S.A. Business Unit Precious Metals Refining</v>
      </c>
    </row>
    <row r="18" spans="1:28" s="283" customFormat="1" ht="20.25">
      <c r="A18" s="445" t="s">
        <v>2125</v>
      </c>
      <c r="B18" s="446" t="s">
        <v>1264</v>
      </c>
      <c r="C18" s="447" t="s">
        <v>14317</v>
      </c>
      <c r="D18" s="446"/>
      <c r="E18" s="446" t="s">
        <v>1227</v>
      </c>
      <c r="F18" s="446" t="s">
        <v>2125</v>
      </c>
      <c r="G18" s="446" t="s">
        <v>14673</v>
      </c>
      <c r="H18" s="237">
        <v>0</v>
      </c>
      <c r="I18" s="238" t="s">
        <v>2126</v>
      </c>
      <c r="J18" s="238" t="s">
        <v>3920</v>
      </c>
      <c r="K18" s="240"/>
      <c r="L18" s="240"/>
      <c r="M18" s="240"/>
      <c r="N18" s="240"/>
      <c r="O18" s="240"/>
      <c r="P18" s="239"/>
      <c r="Q18" s="241"/>
      <c r="R18" s="236" t="str">
        <f ca="1">IF(ISERROR($V18),"",OFFSET('Smelter Look-up'!$C$4,$V18-4,0)&amp;"")</f>
        <v>Metallo Belgium N.V.</v>
      </c>
      <c r="S18" s="250" t="str">
        <f t="shared" ca="1" si="0"/>
        <v>BE</v>
      </c>
      <c r="T18" s="250" t="str">
        <f ca="1">IF(B18="","",IF(ISERROR(MATCH($J18,SorP!$B$1:$B$6230,0)),"",INDIRECT("'SorP'!$A$"&amp;MATCH($J18,SorP!$B$1:$B$6230,0))))</f>
        <v>BE-VAN</v>
      </c>
      <c r="U18" s="280"/>
      <c r="V18" s="281">
        <f>IF(C18="",NA(),MATCH($B18&amp;$C18,'Smelter Look-up'!$J:$J,0))</f>
        <v>423</v>
      </c>
      <c r="W18" s="282"/>
      <c r="X18" s="282">
        <f t="shared" si="1"/>
        <v>0</v>
      </c>
      <c r="Y18" s="282"/>
      <c r="Z18" s="282"/>
      <c r="AB18" s="284" t="str">
        <f t="shared" si="2"/>
        <v>TinMetallo Belgium N.V.</v>
      </c>
    </row>
    <row r="19" spans="1:28" s="283" customFormat="1" ht="20.25">
      <c r="A19" s="445" t="s">
        <v>876</v>
      </c>
      <c r="B19" s="446" t="s">
        <v>1264</v>
      </c>
      <c r="C19" s="447" t="s">
        <v>938</v>
      </c>
      <c r="D19" s="446"/>
      <c r="E19" s="446" t="s">
        <v>1010</v>
      </c>
      <c r="F19" s="446" t="s">
        <v>876</v>
      </c>
      <c r="G19" s="446" t="s">
        <v>14673</v>
      </c>
      <c r="H19" s="237">
        <v>0</v>
      </c>
      <c r="I19" s="238" t="s">
        <v>2072</v>
      </c>
      <c r="J19" s="238" t="s">
        <v>10645</v>
      </c>
      <c r="K19" s="240"/>
      <c r="L19" s="240"/>
      <c r="M19" s="240"/>
      <c r="N19" s="240"/>
      <c r="O19" s="240"/>
      <c r="P19" s="239"/>
      <c r="Q19" s="241"/>
      <c r="R19" s="236" t="str">
        <f ca="1">IF(ISERROR($V19),"",OFFSET('Smelter Look-up'!$C$4,$V19-4,0)&amp;"")</f>
        <v>Fenix Metals</v>
      </c>
      <c r="S19" s="250" t="str">
        <f t="shared" ca="1" si="0"/>
        <v>PL</v>
      </c>
      <c r="T19" s="250" t="str">
        <f ca="1">IF(B19="","",IF(ISERROR(MATCH($J19,SorP!$B$1:$B$6230,0)),"",INDIRECT("'SorP'!$A$"&amp;MATCH($J19,SorP!$B$1:$B$6230,0))))</f>
        <v>PL-PK</v>
      </c>
      <c r="U19" s="280"/>
      <c r="V19" s="281">
        <f>IF(C19="",NA(),MATCH($B19&amp;$C19,'Smelter Look-up'!$J:$J,0))</f>
        <v>386</v>
      </c>
      <c r="W19" s="282"/>
      <c r="X19" s="282">
        <f t="shared" si="1"/>
        <v>0</v>
      </c>
      <c r="Y19" s="282"/>
      <c r="Z19" s="282"/>
      <c r="AB19" s="284" t="str">
        <f t="shared" si="2"/>
        <v>TinFenix Metals</v>
      </c>
    </row>
    <row r="20" spans="1:28" s="283" customFormat="1" ht="20.25">
      <c r="A20" s="445" t="s">
        <v>908</v>
      </c>
      <c r="B20" s="446" t="s">
        <v>1264</v>
      </c>
      <c r="C20" s="447" t="s">
        <v>1160</v>
      </c>
      <c r="D20" s="446"/>
      <c r="E20" s="446" t="s">
        <v>1016</v>
      </c>
      <c r="F20" s="446" t="s">
        <v>908</v>
      </c>
      <c r="G20" s="446" t="s">
        <v>14673</v>
      </c>
      <c r="H20" s="237">
        <v>0</v>
      </c>
      <c r="I20" s="238" t="s">
        <v>2103</v>
      </c>
      <c r="J20" s="238" t="s">
        <v>2104</v>
      </c>
      <c r="K20" s="240"/>
      <c r="L20" s="240"/>
      <c r="M20" s="240"/>
      <c r="N20" s="240"/>
      <c r="O20" s="240"/>
      <c r="P20" s="239"/>
      <c r="Q20" s="241"/>
      <c r="R20" s="236" t="str">
        <f ca="1">IF(ISERROR($V20),"",OFFSET('Smelter Look-up'!$C$4,$V20-4,0)&amp;"")</f>
        <v>Thaisarco</v>
      </c>
      <c r="S20" s="250" t="str">
        <f t="shared" ca="1" si="0"/>
        <v>TH</v>
      </c>
      <c r="T20" s="250" t="str">
        <f ca="1">IF(B20="","",IF(ISERROR(MATCH($J20,SorP!$B$1:$B$6230,0)),"",INDIRECT("'SorP'!$A$"&amp;MATCH($J20,SorP!$B$1:$B$6230,0))))</f>
        <v>TH-83</v>
      </c>
      <c r="U20" s="280"/>
      <c r="V20" s="281">
        <f>IF(C20="",NA(),MATCH($B20&amp;$C20,'Smelter Look-up'!$J:$J,0))</f>
        <v>483</v>
      </c>
      <c r="W20" s="282"/>
      <c r="X20" s="282">
        <f t="shared" si="1"/>
        <v>0</v>
      </c>
      <c r="Y20" s="282"/>
      <c r="Z20" s="282"/>
      <c r="AB20" s="284" t="str">
        <f t="shared" si="2"/>
        <v>TinThaisarco</v>
      </c>
    </row>
    <row r="21" spans="1:28" s="283" customFormat="1" ht="20.25">
      <c r="A21" s="445" t="s">
        <v>847</v>
      </c>
      <c r="B21" s="446" t="s">
        <v>1263</v>
      </c>
      <c r="C21" s="447" t="s">
        <v>3252</v>
      </c>
      <c r="D21" s="446"/>
      <c r="E21" s="446" t="s">
        <v>1232</v>
      </c>
      <c r="F21" s="446" t="s">
        <v>847</v>
      </c>
      <c r="G21" s="446" t="s">
        <v>14673</v>
      </c>
      <c r="H21" s="237">
        <v>0</v>
      </c>
      <c r="I21" s="238" t="s">
        <v>1971</v>
      </c>
      <c r="J21" s="238" t="s">
        <v>1972</v>
      </c>
      <c r="K21" s="240"/>
      <c r="L21" s="240"/>
      <c r="M21" s="240"/>
      <c r="N21" s="240"/>
      <c r="O21" s="240"/>
      <c r="P21" s="239"/>
      <c r="Q21" s="241"/>
      <c r="R21" s="236" t="str">
        <f ca="1">IF(ISERROR($V21),"",OFFSET('Smelter Look-up'!$C$4,$V21-4,0)&amp;"")</f>
        <v>Gold Refinery of Zijin Mining Group Co., Ltd.</v>
      </c>
      <c r="S21" s="250" t="str">
        <f t="shared" ca="1" si="0"/>
        <v>CN</v>
      </c>
      <c r="T21" s="250" t="str">
        <f ca="1">IF(B21="","",IF(ISERROR(MATCH($J21,SorP!$B$1:$B$6230,0)),"",INDIRECT("'SorP'!$A$"&amp;MATCH($J21,SorP!$B$1:$B$6230,0))))</f>
        <v>CN-35</v>
      </c>
      <c r="U21" s="280"/>
      <c r="V21" s="281">
        <f>IF(C21="",NA(),MATCH($B21&amp;$C21,'Smelter Look-up'!$J:$J,0))</f>
        <v>73</v>
      </c>
      <c r="W21" s="282"/>
      <c r="X21" s="282">
        <f t="shared" si="1"/>
        <v>0</v>
      </c>
      <c r="Y21" s="282"/>
      <c r="Z21" s="282"/>
      <c r="AB21" s="284" t="str">
        <f t="shared" si="2"/>
        <v>GoldGold Refinery of Zijin Mining Group Co., Ltd.</v>
      </c>
    </row>
    <row r="22" spans="1:28" s="283" customFormat="1" ht="20.25">
      <c r="A22" s="445" t="s">
        <v>877</v>
      </c>
      <c r="B22" s="446" t="s">
        <v>1264</v>
      </c>
      <c r="C22" s="447" t="s">
        <v>2606</v>
      </c>
      <c r="D22" s="446"/>
      <c r="E22" s="446" t="s">
        <v>1232</v>
      </c>
      <c r="F22" s="446" t="s">
        <v>877</v>
      </c>
      <c r="G22" s="446" t="s">
        <v>14673</v>
      </c>
      <c r="H22" s="237">
        <v>0</v>
      </c>
      <c r="I22" s="238" t="s">
        <v>3171</v>
      </c>
      <c r="J22" s="238" t="s">
        <v>1830</v>
      </c>
      <c r="K22" s="240"/>
      <c r="L22" s="240"/>
      <c r="M22" s="240"/>
      <c r="N22" s="240"/>
      <c r="O22" s="240"/>
      <c r="P22" s="239"/>
      <c r="Q22" s="241"/>
      <c r="R22" s="236" t="str">
        <f ca="1">IF(ISERROR($V22),"",OFFSET('Smelter Look-up'!$C$4,$V22-4,0)&amp;"")</f>
        <v>Gejiu Non-Ferrous Metal Processing Co., Ltd.</v>
      </c>
      <c r="S22" s="250" t="str">
        <f t="shared" ca="1" si="0"/>
        <v>CN</v>
      </c>
      <c r="T22" s="250" t="str">
        <f ca="1">IF(B22="","",IF(ISERROR(MATCH($J22,SorP!$B$1:$B$6230,0)),"",INDIRECT("'SorP'!$A$"&amp;MATCH($J22,SorP!$B$1:$B$6230,0))))</f>
        <v>CN-53</v>
      </c>
      <c r="U22" s="280"/>
      <c r="V22" s="281">
        <f>IF(C22="",NA(),MATCH($B22&amp;$C22,'Smelter Look-up'!$J:$J,0))</f>
        <v>392</v>
      </c>
      <c r="W22" s="282"/>
      <c r="X22" s="282">
        <f t="shared" si="1"/>
        <v>0</v>
      </c>
      <c r="Y22" s="282"/>
      <c r="Z22" s="282"/>
      <c r="AB22" s="284" t="str">
        <f t="shared" si="2"/>
        <v>TinGejiu Non-Ferrous Metal Processing Co., Ltd.</v>
      </c>
    </row>
    <row r="23" spans="1:28" s="283" customFormat="1" ht="25.5">
      <c r="A23" s="448" t="s">
        <v>884</v>
      </c>
      <c r="B23" s="236" t="s">
        <v>1264</v>
      </c>
      <c r="C23" s="242" t="s">
        <v>1163</v>
      </c>
      <c r="D23" s="236" t="s">
        <v>1163</v>
      </c>
      <c r="E23" s="236" t="s">
        <v>1008</v>
      </c>
      <c r="F23" s="236" t="s">
        <v>884</v>
      </c>
      <c r="G23" s="236" t="s">
        <v>14673</v>
      </c>
      <c r="H23" s="449" t="s">
        <v>15433</v>
      </c>
      <c r="I23" s="238" t="s">
        <v>2086</v>
      </c>
      <c r="J23" s="238" t="s">
        <v>10244</v>
      </c>
      <c r="K23" s="450" t="s">
        <v>15434</v>
      </c>
      <c r="L23" s="450" t="s">
        <v>15435</v>
      </c>
      <c r="M23" s="450" t="s">
        <v>15436</v>
      </c>
      <c r="N23" s="450" t="s">
        <v>15437</v>
      </c>
      <c r="O23" s="450" t="s">
        <v>15438</v>
      </c>
      <c r="P23" s="239" t="s">
        <v>564</v>
      </c>
      <c r="Q23" s="451" t="s">
        <v>15439</v>
      </c>
      <c r="R23" s="236" t="str">
        <f ca="1">IF(ISERROR($V23),"",OFFSET('Smelter Look-up'!$C$4,$V23-4,0)&amp;"")</f>
        <v>Minsur</v>
      </c>
      <c r="S23" s="250" t="str">
        <f t="shared" ca="1" si="0"/>
        <v>PE</v>
      </c>
      <c r="T23" s="250" t="str">
        <f ca="1">IF(B23="","",IF(ISERROR(MATCH($J23,SorP!$B$1:$B$6230,0)),"",INDIRECT("'SorP'!$A$"&amp;MATCH($J23,SorP!$B$1:$B$6230,0))))</f>
        <v>PE-ICA</v>
      </c>
      <c r="U23" s="280"/>
      <c r="V23" s="281">
        <f>IF(C23="",NA(),MATCH($B23&amp;$C23,'Smelter Look-up'!$J:$J,0))</f>
        <v>428</v>
      </c>
      <c r="W23" s="282"/>
      <c r="X23" s="282">
        <f t="shared" si="1"/>
        <v>0</v>
      </c>
      <c r="Y23" s="282"/>
      <c r="Z23" s="282"/>
      <c r="AB23" s="284" t="str">
        <f t="shared" si="2"/>
        <v>TinMinsur</v>
      </c>
    </row>
    <row r="24" spans="1:28" s="283" customFormat="1" ht="25.5">
      <c r="A24" s="448" t="s">
        <v>1535</v>
      </c>
      <c r="B24" s="236" t="s">
        <v>1264</v>
      </c>
      <c r="C24" s="242" t="s">
        <v>2707</v>
      </c>
      <c r="D24" s="242" t="s">
        <v>2707</v>
      </c>
      <c r="E24" s="236" t="s">
        <v>1238</v>
      </c>
      <c r="F24" s="236" t="s">
        <v>1535</v>
      </c>
      <c r="G24" s="236" t="s">
        <v>14673</v>
      </c>
      <c r="H24" s="449" t="s">
        <v>15440</v>
      </c>
      <c r="I24" s="238" t="s">
        <v>3170</v>
      </c>
      <c r="J24" s="238" t="s">
        <v>14222</v>
      </c>
      <c r="K24" s="452"/>
      <c r="L24" s="452"/>
      <c r="M24" s="450" t="s">
        <v>15436</v>
      </c>
      <c r="N24" s="452"/>
      <c r="O24" s="452"/>
      <c r="P24" s="239" t="s">
        <v>564</v>
      </c>
      <c r="Q24" s="453"/>
      <c r="R24" s="236" t="str">
        <f ca="1">IF(ISERROR($V24),"",OFFSET('Smelter Look-up'!$C$4,$V24-4,0)&amp;"")</f>
        <v>PT Aries Kencana Sejahtera</v>
      </c>
      <c r="S24" s="250" t="str">
        <f t="shared" ca="1" si="0"/>
        <v>ID</v>
      </c>
      <c r="T24" s="250" t="str">
        <f ca="1">IF(B24="","",IF(ISERROR(MATCH($J24,SorP!$B$1:$B$6230,0)),"",INDIRECT("'SorP'!$A$"&amp;MATCH($J24,SorP!$B$1:$B$6230,0))))</f>
        <v>ID-BB</v>
      </c>
      <c r="U24" s="280"/>
      <c r="V24" s="281">
        <f>IF(C24="",NA(),MATCH($B24&amp;$C24,'Smelter Look-up'!$J:$J,0))</f>
        <v>441</v>
      </c>
      <c r="W24" s="282"/>
      <c r="X24" s="282">
        <f t="shared" si="1"/>
        <v>0</v>
      </c>
      <c r="Y24" s="282"/>
      <c r="Z24" s="282"/>
      <c r="AB24" s="284" t="str">
        <f t="shared" si="2"/>
        <v>TinPT Aries Kencana Sejahtera</v>
      </c>
    </row>
    <row r="25" spans="1:28" s="283" customFormat="1" ht="38.25">
      <c r="A25" s="448" t="s">
        <v>1560</v>
      </c>
      <c r="B25" s="236" t="s">
        <v>1264</v>
      </c>
      <c r="C25" s="447" t="s">
        <v>1559</v>
      </c>
      <c r="D25" s="447" t="s">
        <v>1559</v>
      </c>
      <c r="E25" s="236" t="s">
        <v>1238</v>
      </c>
      <c r="F25" s="236" t="s">
        <v>1560</v>
      </c>
      <c r="G25" s="236" t="s">
        <v>14673</v>
      </c>
      <c r="H25" s="237" t="s">
        <v>15441</v>
      </c>
      <c r="I25" s="238" t="s">
        <v>2067</v>
      </c>
      <c r="J25" s="238" t="s">
        <v>14222</v>
      </c>
      <c r="K25" s="454" t="s">
        <v>15442</v>
      </c>
      <c r="L25" s="454" t="s">
        <v>15443</v>
      </c>
      <c r="M25" s="450" t="s">
        <v>15436</v>
      </c>
      <c r="N25" s="452"/>
      <c r="O25" s="452"/>
      <c r="P25" s="239" t="s">
        <v>564</v>
      </c>
      <c r="Q25" s="453"/>
      <c r="R25" s="236" t="str">
        <f ca="1">IF(ISERROR($V25),"",OFFSET('Smelter Look-up'!$C$4,$V25-4,0)&amp;"")</f>
        <v>CV Venus Inti Perkasa</v>
      </c>
      <c r="S25" s="250" t="str">
        <f t="shared" ca="1" si="0"/>
        <v>ID</v>
      </c>
      <c r="T25" s="250" t="str">
        <f ca="1">IF(B25="","",IF(ISERROR(MATCH($J25,SorP!$B$1:$B$6230,0)),"",INDIRECT("'SorP'!$A$"&amp;MATCH($J25,SorP!$B$1:$B$6230,0))))</f>
        <v>ID-BB</v>
      </c>
      <c r="U25" s="280"/>
      <c r="V25" s="281">
        <f>IF(C25="",NA(),MATCH($B25&amp;$C25,'Smelter Look-up'!$J:$J,0))</f>
        <v>376</v>
      </c>
      <c r="W25" s="282"/>
      <c r="X25" s="282">
        <f t="shared" si="1"/>
        <v>0</v>
      </c>
      <c r="Y25" s="282"/>
      <c r="Z25" s="282"/>
      <c r="AB25" s="284" t="str">
        <f t="shared" si="2"/>
        <v>TinCV Venus Inti Perkasa</v>
      </c>
    </row>
    <row r="26" spans="1:28" s="283" customFormat="1" ht="25.5">
      <c r="A26" s="448" t="s">
        <v>909</v>
      </c>
      <c r="B26" s="236" t="s">
        <v>1264</v>
      </c>
      <c r="C26" s="447" t="s">
        <v>3292</v>
      </c>
      <c r="D26" s="236" t="s">
        <v>57</v>
      </c>
      <c r="E26" s="236" t="s">
        <v>1228</v>
      </c>
      <c r="F26" s="236" t="s">
        <v>909</v>
      </c>
      <c r="G26" s="236" t="s">
        <v>14673</v>
      </c>
      <c r="H26" s="449" t="s">
        <v>15444</v>
      </c>
      <c r="I26" s="238" t="s">
        <v>2064</v>
      </c>
      <c r="J26" s="238" t="s">
        <v>2070</v>
      </c>
      <c r="K26" s="452" t="s">
        <v>15445</v>
      </c>
      <c r="L26" s="455" t="s">
        <v>15446</v>
      </c>
      <c r="M26" s="450" t="s">
        <v>15436</v>
      </c>
      <c r="N26" s="452" t="s">
        <v>15447</v>
      </c>
      <c r="O26" s="452" t="s">
        <v>15448</v>
      </c>
      <c r="P26" s="239" t="s">
        <v>564</v>
      </c>
      <c r="Q26" s="453" t="s">
        <v>15449</v>
      </c>
      <c r="R26" s="236" t="str">
        <f ca="1">IF(ISERROR($V26),"",OFFSET('Smelter Look-up'!$C$4,$V26-4,0)&amp;"")</f>
        <v>White Solder Metalurgia e Mineracao Ltda.</v>
      </c>
      <c r="S26" s="250" t="str">
        <f t="shared" ca="1" si="0"/>
        <v>BR</v>
      </c>
      <c r="T26" s="250" t="str">
        <f ca="1">IF(B26="","",IF(ISERROR(MATCH($J26,SorP!$B$1:$B$6230,0)),"",INDIRECT("'SorP'!$A$"&amp;MATCH($J26,SorP!$B$1:$B$6230,0))))</f>
        <v>BR-RO</v>
      </c>
      <c r="U26" s="280"/>
      <c r="V26" s="281">
        <f>IF(C26="",NA(),MATCH($B26&amp;$C26,'Smelter Look-up'!$J:$J,0))</f>
        <v>490</v>
      </c>
      <c r="W26" s="282"/>
      <c r="X26" s="282">
        <f t="shared" si="1"/>
        <v>0</v>
      </c>
      <c r="Y26" s="282"/>
      <c r="Z26" s="282"/>
      <c r="AB26" s="284" t="str">
        <f t="shared" si="2"/>
        <v>TinWhite Solder Metalurgia e Mineracao Ltda.</v>
      </c>
    </row>
    <row r="27" spans="1:28" s="283" customFormat="1" ht="20.25">
      <c r="A27" s="448" t="s">
        <v>895</v>
      </c>
      <c r="B27" s="236" t="s">
        <v>1264</v>
      </c>
      <c r="C27" s="447" t="s">
        <v>722</v>
      </c>
      <c r="D27" s="236" t="s">
        <v>722</v>
      </c>
      <c r="E27" s="236" t="s">
        <v>1238</v>
      </c>
      <c r="F27" s="236" t="s">
        <v>895</v>
      </c>
      <c r="G27" s="236" t="s">
        <v>14673</v>
      </c>
      <c r="H27" s="449" t="s">
        <v>15450</v>
      </c>
      <c r="I27" s="238" t="s">
        <v>2096</v>
      </c>
      <c r="J27" s="238" t="s">
        <v>2095</v>
      </c>
      <c r="K27" s="452" t="s">
        <v>15451</v>
      </c>
      <c r="L27" s="452" t="s">
        <v>15452</v>
      </c>
      <c r="M27" s="450" t="s">
        <v>15436</v>
      </c>
      <c r="N27" s="452" t="s">
        <v>15453</v>
      </c>
      <c r="O27" s="452" t="s">
        <v>15454</v>
      </c>
      <c r="P27" s="239" t="s">
        <v>564</v>
      </c>
      <c r="Q27" s="453" t="s">
        <v>3047</v>
      </c>
      <c r="R27" s="236" t="str">
        <f ca="1">IF(ISERROR($V27),"",OFFSET('Smelter Look-up'!$C$4,$V27-4,0)&amp;"")</f>
        <v>PT Eunindo Usaha Mandiri</v>
      </c>
      <c r="S27" s="250" t="str">
        <f t="shared" ca="1" si="0"/>
        <v>ID</v>
      </c>
      <c r="T27" s="250" t="str">
        <f ca="1">IF(B27="","",IF(ISERROR(MATCH($J27,SorP!$B$1:$B$6230,0)),"",INDIRECT("'SorP'!$A$"&amp;MATCH($J27,SorP!$B$1:$B$6230,0))))</f>
        <v>ID-KR</v>
      </c>
      <c r="U27" s="280"/>
      <c r="V27" s="281">
        <f>IF(C27="",NA(),MATCH($B27&amp;$C27,'Smelter Look-up'!$J:$J,0))</f>
        <v>451</v>
      </c>
      <c r="W27" s="282"/>
      <c r="X27" s="282">
        <f t="shared" si="1"/>
        <v>0</v>
      </c>
      <c r="Y27" s="282"/>
      <c r="Z27" s="282"/>
      <c r="AB27" s="284" t="str">
        <f t="shared" si="2"/>
        <v>TinPT Eunindo Usaha Mandiri</v>
      </c>
    </row>
    <row r="28" spans="1:28" s="283" customFormat="1" ht="25.5">
      <c r="A28" s="448" t="s">
        <v>873</v>
      </c>
      <c r="B28" s="236" t="s">
        <v>1264</v>
      </c>
      <c r="C28" s="447" t="s">
        <v>968</v>
      </c>
      <c r="D28" s="236" t="s">
        <v>968</v>
      </c>
      <c r="E28" s="236" t="s">
        <v>1238</v>
      </c>
      <c r="F28" s="236" t="s">
        <v>873</v>
      </c>
      <c r="G28" s="236" t="s">
        <v>14673</v>
      </c>
      <c r="H28" s="449" t="s">
        <v>15455</v>
      </c>
      <c r="I28" s="238" t="s">
        <v>2067</v>
      </c>
      <c r="J28" s="238" t="s">
        <v>14222</v>
      </c>
      <c r="K28" s="452" t="s">
        <v>15456</v>
      </c>
      <c r="L28" s="452" t="s">
        <v>15457</v>
      </c>
      <c r="M28" s="450" t="s">
        <v>15436</v>
      </c>
      <c r="N28" s="452" t="s">
        <v>15458</v>
      </c>
      <c r="O28" s="452" t="s">
        <v>15454</v>
      </c>
      <c r="P28" s="239" t="s">
        <v>564</v>
      </c>
      <c r="Q28" s="453" t="s">
        <v>15459</v>
      </c>
      <c r="R28" s="236" t="str">
        <f ca="1">IF(ISERROR($V28),"",OFFSET('Smelter Look-up'!$C$4,$V28-4,0)&amp;"")</f>
        <v>CV United Smelting</v>
      </c>
      <c r="S28" s="250" t="str">
        <f t="shared" ca="1" si="0"/>
        <v>ID</v>
      </c>
      <c r="T28" s="250" t="str">
        <f ca="1">IF(B28="","",IF(ISERROR(MATCH($J28,SorP!$B$1:$B$6230,0)),"",INDIRECT("'SorP'!$A$"&amp;MATCH($J28,SorP!$B$1:$B$6230,0))))</f>
        <v>ID-BB</v>
      </c>
      <c r="U28" s="280"/>
      <c r="V28" s="281">
        <f>IF(C28="",NA(),MATCH($B28&amp;$C28,'Smelter Look-up'!$J:$J,0))</f>
        <v>375</v>
      </c>
      <c r="W28" s="282"/>
      <c r="X28" s="282">
        <f t="shared" si="1"/>
        <v>0</v>
      </c>
      <c r="Y28" s="282"/>
      <c r="Z28" s="282"/>
      <c r="AB28" s="284" t="str">
        <f t="shared" si="2"/>
        <v>TinCV United Smelting</v>
      </c>
    </row>
    <row r="29" spans="1:28" s="283" customFormat="1" ht="25.5">
      <c r="A29" s="448" t="s">
        <v>2082</v>
      </c>
      <c r="B29" s="236" t="s">
        <v>1264</v>
      </c>
      <c r="C29" s="447" t="s">
        <v>2612</v>
      </c>
      <c r="D29" s="236" t="s">
        <v>2612</v>
      </c>
      <c r="E29" s="236" t="s">
        <v>3154</v>
      </c>
      <c r="F29" s="236" t="s">
        <v>2082</v>
      </c>
      <c r="G29" s="236" t="s">
        <v>14673</v>
      </c>
      <c r="H29" s="449" t="s">
        <v>15460</v>
      </c>
      <c r="I29" s="238" t="s">
        <v>2083</v>
      </c>
      <c r="J29" s="238" t="s">
        <v>1908</v>
      </c>
      <c r="K29" s="452" t="s">
        <v>15461</v>
      </c>
      <c r="L29" s="452" t="s">
        <v>15462</v>
      </c>
      <c r="M29" s="450" t="s">
        <v>15436</v>
      </c>
      <c r="N29" s="452" t="s">
        <v>15463</v>
      </c>
      <c r="O29" s="452" t="s">
        <v>15463</v>
      </c>
      <c r="P29" s="239" t="s">
        <v>564</v>
      </c>
      <c r="Q29" s="453" t="s">
        <v>15464</v>
      </c>
      <c r="R29" s="236" t="str">
        <f ca="1">IF(ISERROR($V29),"",OFFSET('Smelter Look-up'!$C$4,$V29-4,0)&amp;"")</f>
        <v>Metallic Resources, Inc.</v>
      </c>
      <c r="S29" s="250" t="str">
        <f t="shared" ca="1" si="0"/>
        <v>US</v>
      </c>
      <c r="T29" s="250" t="str">
        <f ca="1">IF(B29="","",IF(ISERROR(MATCH($J29,SorP!$B$1:$B$6230,0)),"",INDIRECT("'SorP'!$A$"&amp;MATCH($J29,SorP!$B$1:$B$6230,0))))</f>
        <v>US-OH</v>
      </c>
      <c r="U29" s="280"/>
      <c r="V29" s="281">
        <f>IF(C29="",NA(),MATCH($B29&amp;$C29,'Smelter Look-up'!$J:$J,0))</f>
        <v>422</v>
      </c>
      <c r="W29" s="282"/>
      <c r="X29" s="282">
        <f t="shared" si="1"/>
        <v>0</v>
      </c>
      <c r="Y29" s="282"/>
      <c r="Z29" s="282"/>
      <c r="AB29" s="284" t="str">
        <f t="shared" si="2"/>
        <v>TinMetallic Resources, Inc.</v>
      </c>
    </row>
    <row r="30" spans="1:28" s="283" customFormat="1" ht="25.5">
      <c r="A30" s="448" t="s">
        <v>840</v>
      </c>
      <c r="B30" s="236" t="s">
        <v>1263</v>
      </c>
      <c r="C30" s="447" t="s">
        <v>945</v>
      </c>
      <c r="D30" s="236" t="s">
        <v>945</v>
      </c>
      <c r="E30" s="236" t="s">
        <v>3154</v>
      </c>
      <c r="F30" s="236" t="s">
        <v>840</v>
      </c>
      <c r="G30" s="236" t="s">
        <v>14673</v>
      </c>
      <c r="H30" s="449" t="s">
        <v>15465</v>
      </c>
      <c r="I30" s="238" t="s">
        <v>1957</v>
      </c>
      <c r="J30" s="238" t="s">
        <v>1887</v>
      </c>
      <c r="K30" s="452" t="s">
        <v>15466</v>
      </c>
      <c r="L30" s="452" t="s">
        <v>15467</v>
      </c>
      <c r="M30" s="450" t="s">
        <v>15436</v>
      </c>
      <c r="N30" s="452" t="s">
        <v>15463</v>
      </c>
      <c r="O30" s="452" t="s">
        <v>15463</v>
      </c>
      <c r="P30" s="239" t="s">
        <v>563</v>
      </c>
      <c r="Q30" s="453" t="s">
        <v>15468</v>
      </c>
      <c r="R30" s="236" t="str">
        <f ca="1">IF(ISERROR($V30),"",OFFSET('Smelter Look-up'!$C$4,$V30-4,0)&amp;"")</f>
        <v>United Precious Metal Refining, Inc.</v>
      </c>
      <c r="S30" s="250" t="str">
        <f t="shared" ca="1" si="0"/>
        <v>US</v>
      </c>
      <c r="T30" s="250" t="str">
        <f ca="1">IF(B30="","",IF(ISERROR(MATCH($J30,SorP!$B$1:$B$6230,0)),"",INDIRECT("'SorP'!$A$"&amp;MATCH($J30,SorP!$B$1:$B$6230,0))))</f>
        <v>US-NY</v>
      </c>
      <c r="U30" s="280"/>
      <c r="V30" s="281">
        <f>IF(C30="",NA(),MATCH($B30&amp;$C30,'Smelter Look-up'!$J:$J,0))</f>
        <v>255</v>
      </c>
      <c r="W30" s="282"/>
      <c r="X30" s="282">
        <f t="shared" si="1"/>
        <v>0</v>
      </c>
      <c r="Y30" s="282"/>
      <c r="Z30" s="282"/>
      <c r="AB30" s="284" t="str">
        <f t="shared" si="2"/>
        <v>GoldUnited Precious Metal Refining, Inc.</v>
      </c>
    </row>
    <row r="31" spans="1:28" s="283" customFormat="1" ht="38.25">
      <c r="A31" s="456" t="s">
        <v>3175</v>
      </c>
      <c r="B31" s="236" t="s">
        <v>1264</v>
      </c>
      <c r="C31" s="447" t="s">
        <v>3174</v>
      </c>
      <c r="D31" s="447" t="s">
        <v>3174</v>
      </c>
      <c r="E31" s="236" t="s">
        <v>1238</v>
      </c>
      <c r="F31" s="236" t="s">
        <v>3175</v>
      </c>
      <c r="G31" s="236" t="s">
        <v>14673</v>
      </c>
      <c r="H31" s="237" t="s">
        <v>15469</v>
      </c>
      <c r="I31" s="238" t="s">
        <v>14334</v>
      </c>
      <c r="J31" s="238" t="s">
        <v>14222</v>
      </c>
      <c r="K31" s="454" t="s">
        <v>15470</v>
      </c>
      <c r="L31" s="454" t="s">
        <v>15471</v>
      </c>
      <c r="M31" s="450" t="s">
        <v>15436</v>
      </c>
      <c r="N31" s="454"/>
      <c r="O31" s="454"/>
      <c r="P31" s="239"/>
      <c r="Q31" s="457"/>
      <c r="R31" s="236" t="str">
        <f ca="1">IF(ISERROR($V31),"",OFFSET('Smelter Look-up'!$C$4,$V31-4,0)&amp;"")</f>
        <v>PT Menara Cipta Mulia</v>
      </c>
      <c r="S31" s="250" t="str">
        <f t="shared" ca="1" si="0"/>
        <v>ID</v>
      </c>
      <c r="T31" s="250" t="str">
        <f ca="1">IF(B31="","",IF(ISERROR(MATCH($J31,SorP!$B$1:$B$6230,0)),"",INDIRECT("'SorP'!$A$"&amp;MATCH($J31,SorP!$B$1:$B$6230,0))))</f>
        <v>ID-BB</v>
      </c>
      <c r="U31" s="280"/>
      <c r="V31" s="281">
        <f>IF(C31="",NA(),MATCH($B31&amp;$C31,'Smelter Look-up'!$J:$J,0))</f>
        <v>458</v>
      </c>
      <c r="W31" s="282"/>
      <c r="X31" s="282">
        <f t="shared" si="1"/>
        <v>0</v>
      </c>
      <c r="Y31" s="282"/>
      <c r="Z31" s="282"/>
      <c r="AB31" s="284" t="str">
        <f t="shared" si="2"/>
        <v>TinPT Menara Cipta Mulia</v>
      </c>
    </row>
    <row r="32" spans="1:28" s="283" customFormat="1" ht="25.5">
      <c r="A32" s="456" t="s">
        <v>908</v>
      </c>
      <c r="B32" s="236" t="s">
        <v>1264</v>
      </c>
      <c r="C32" s="447" t="s">
        <v>1160</v>
      </c>
      <c r="D32" s="447" t="s">
        <v>1160</v>
      </c>
      <c r="E32" s="236" t="s">
        <v>1016</v>
      </c>
      <c r="F32" s="236" t="s">
        <v>908</v>
      </c>
      <c r="G32" s="236" t="s">
        <v>14673</v>
      </c>
      <c r="H32" s="237" t="s">
        <v>15472</v>
      </c>
      <c r="I32" s="238" t="s">
        <v>2103</v>
      </c>
      <c r="J32" s="238" t="s">
        <v>2104</v>
      </c>
      <c r="K32" s="454" t="s">
        <v>15473</v>
      </c>
      <c r="L32" s="454" t="s">
        <v>15474</v>
      </c>
      <c r="M32" s="450" t="s">
        <v>15436</v>
      </c>
      <c r="N32" s="454"/>
      <c r="O32" s="454" t="s">
        <v>15475</v>
      </c>
      <c r="P32" s="239" t="s">
        <v>564</v>
      </c>
      <c r="Q32" s="457" t="s">
        <v>15476</v>
      </c>
      <c r="R32" s="236" t="str">
        <f ca="1">IF(ISERROR($V32),"",OFFSET('Smelter Look-up'!$C$4,$V32-4,0)&amp;"")</f>
        <v>Thaisarco</v>
      </c>
      <c r="S32" s="250" t="str">
        <f t="shared" ca="1" si="0"/>
        <v>TH</v>
      </c>
      <c r="T32" s="250" t="str">
        <f ca="1">IF(B32="","",IF(ISERROR(MATCH($J32,SorP!$B$1:$B$6230,0)),"",INDIRECT("'SorP'!$A$"&amp;MATCH($J32,SorP!$B$1:$B$6230,0))))</f>
        <v>TH-83</v>
      </c>
      <c r="U32" s="280"/>
      <c r="V32" s="281">
        <f>IF(C32="",NA(),MATCH($B32&amp;$C32,'Smelter Look-up'!$J:$J,0))</f>
        <v>483</v>
      </c>
      <c r="W32" s="282"/>
      <c r="X32" s="282">
        <f t="shared" si="1"/>
        <v>0</v>
      </c>
      <c r="Y32" s="282"/>
      <c r="Z32" s="282"/>
      <c r="AB32" s="284" t="str">
        <f t="shared" si="2"/>
        <v>TinThaisarco</v>
      </c>
    </row>
    <row r="33" spans="1:28" s="283" customFormat="1" ht="25.5">
      <c r="A33" s="458" t="s">
        <v>885</v>
      </c>
      <c r="B33" s="236" t="s">
        <v>1264</v>
      </c>
      <c r="C33" s="447" t="s">
        <v>1299</v>
      </c>
      <c r="D33" s="447" t="s">
        <v>1299</v>
      </c>
      <c r="E33" s="236" t="s">
        <v>1241</v>
      </c>
      <c r="F33" s="236" t="s">
        <v>885</v>
      </c>
      <c r="G33" s="236" t="s">
        <v>14673</v>
      </c>
      <c r="H33" s="237" t="s">
        <v>15477</v>
      </c>
      <c r="I33" s="238" t="s">
        <v>2089</v>
      </c>
      <c r="J33" s="238" t="s">
        <v>1813</v>
      </c>
      <c r="K33" s="454"/>
      <c r="L33" s="454"/>
      <c r="M33" s="450" t="s">
        <v>15436</v>
      </c>
      <c r="N33" s="452" t="s">
        <v>15463</v>
      </c>
      <c r="O33" s="452" t="s">
        <v>15463</v>
      </c>
      <c r="P33" s="239"/>
      <c r="Q33" s="457" t="s">
        <v>15478</v>
      </c>
      <c r="R33" s="236" t="str">
        <f ca="1">IF(ISERROR($V33),"",OFFSET('Smelter Look-up'!$C$4,$V33-4,0)&amp;"")</f>
        <v>Mitsubishi Materials Corporation</v>
      </c>
      <c r="S33" s="250" t="str">
        <f t="shared" ca="1" si="0"/>
        <v>JP</v>
      </c>
      <c r="T33" s="250" t="str">
        <f ca="1">IF(B33="","",IF(ISERROR(MATCH($J33,SorP!$B$1:$B$6230,0)),"",INDIRECT("'SorP'!$A$"&amp;MATCH($J33,SorP!$B$1:$B$6230,0))))</f>
        <v>JP-28</v>
      </c>
      <c r="U33" s="280"/>
      <c r="V33" s="281">
        <f>IF(C33="",NA(),MATCH($B33&amp;$C33,'Smelter Look-up'!$J:$J,0))</f>
        <v>429</v>
      </c>
      <c r="W33" s="282"/>
      <c r="X33" s="282">
        <f t="shared" si="1"/>
        <v>0</v>
      </c>
      <c r="Y33" s="282"/>
      <c r="Z33" s="282"/>
      <c r="AB33" s="284" t="str">
        <f t="shared" si="2"/>
        <v>TinMitsubishi Materials Corporation</v>
      </c>
    </row>
    <row r="34" spans="1:28" s="283" customFormat="1" ht="20.25">
      <c r="A34" s="456" t="s">
        <v>2125</v>
      </c>
      <c r="B34" s="236" t="s">
        <v>1264</v>
      </c>
      <c r="C34" s="447" t="s">
        <v>14317</v>
      </c>
      <c r="D34" s="447" t="s">
        <v>15479</v>
      </c>
      <c r="E34" s="236" t="s">
        <v>1227</v>
      </c>
      <c r="F34" s="236" t="s">
        <v>2125</v>
      </c>
      <c r="G34" s="236" t="s">
        <v>14673</v>
      </c>
      <c r="H34" s="449" t="s">
        <v>15480</v>
      </c>
      <c r="I34" s="238" t="s">
        <v>2126</v>
      </c>
      <c r="J34" s="238" t="s">
        <v>3920</v>
      </c>
      <c r="K34" s="452" t="s">
        <v>15481</v>
      </c>
      <c r="L34" s="452" t="s">
        <v>15482</v>
      </c>
      <c r="M34" s="450" t="s">
        <v>15436</v>
      </c>
      <c r="N34" s="452" t="s">
        <v>15463</v>
      </c>
      <c r="O34" s="452" t="s">
        <v>15463</v>
      </c>
      <c r="P34" s="239" t="s">
        <v>563</v>
      </c>
      <c r="Q34" s="453" t="s">
        <v>15483</v>
      </c>
      <c r="R34" s="236" t="str">
        <f ca="1">IF(ISERROR($V34),"",OFFSET('Smelter Look-up'!$C$4,$V34-4,0)&amp;"")</f>
        <v>Metallo Belgium N.V.</v>
      </c>
      <c r="S34" s="250" t="str">
        <f t="shared" ca="1" si="0"/>
        <v>BE</v>
      </c>
      <c r="T34" s="250" t="str">
        <f ca="1">IF(B34="","",IF(ISERROR(MATCH($J34,SorP!$B$1:$B$6230,0)),"",INDIRECT("'SorP'!$A$"&amp;MATCH($J34,SorP!$B$1:$B$6230,0))))</f>
        <v>BE-VAN</v>
      </c>
      <c r="U34" s="280"/>
      <c r="V34" s="281">
        <f>IF(C34="",NA(),MATCH($B34&amp;$C34,'Smelter Look-up'!$J:$J,0))</f>
        <v>423</v>
      </c>
      <c r="W34" s="282"/>
      <c r="X34" s="282">
        <f t="shared" si="1"/>
        <v>0</v>
      </c>
      <c r="Y34" s="282"/>
      <c r="Z34" s="282"/>
      <c r="AB34" s="284" t="str">
        <f t="shared" si="2"/>
        <v>TinMetallo Belgium N.V.</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35:B2493">
    <cfRule type="expression" dxfId="56" priority="41" stopIfTrue="1">
      <formula>IF(B35="",TRUE)</formula>
    </cfRule>
    <cfRule type="expression" dxfId="55" priority="52" stopIfTrue="1">
      <formula>IF(AND(COUNTIF(MetalSmelter,B35&amp;C35)=0,LEN(C35)&gt;0), TRUE, FALSE)</formula>
    </cfRule>
  </conditionalFormatting>
  <conditionalFormatting sqref="D35:D2493">
    <cfRule type="expression" dxfId="54" priority="35" stopIfTrue="1">
      <formula>IF(AND(LEN($C35) &gt;0, ($C35 &lt;&gt; "Smelter Not Listed")),1,0)</formula>
    </cfRule>
    <cfRule type="expression" dxfId="53" priority="60" stopIfTrue="1">
      <formula>IF(AND(D35="",$C35=$X$4),TRUE)</formula>
    </cfRule>
    <cfRule type="expression" dxfId="52" priority="61" stopIfTrue="1">
      <formula>IF(FIND("!",D35),TRUE)</formula>
    </cfRule>
  </conditionalFormatting>
  <conditionalFormatting sqref="G35:G2493">
    <cfRule type="expression" dxfId="51" priority="62" stopIfTrue="1">
      <formula>IF(FIND("Enter smelter details",G35),TRUE)</formula>
    </cfRule>
  </conditionalFormatting>
  <conditionalFormatting sqref="E35:E2493 R5:R2494">
    <cfRule type="expression" dxfId="50" priority="48" stopIfTrue="1">
      <formula>IF(AND(E5="",$C5=$X$4),TRUE)</formula>
    </cfRule>
    <cfRule type="expression" dxfId="49" priority="49" stopIfTrue="1">
      <formula>IF(FIND("!",E5),TRUE)</formula>
    </cfRule>
  </conditionalFormatting>
  <conditionalFormatting sqref="F35:F2493">
    <cfRule type="expression" dxfId="48" priority="39" stopIfTrue="1">
      <formula>IF(AND(LEN($A35)&gt;0,$A35&lt;&gt;$F35),TRUE,FALSE)</formula>
    </cfRule>
  </conditionalFormatting>
  <conditionalFormatting sqref="C35:C2493">
    <cfRule type="expression" dxfId="47" priority="38" stopIfTrue="1">
      <formula>IF(AND(B35&lt;&gt;"",C35=""),TRUE)</formula>
    </cfRule>
  </conditionalFormatting>
  <conditionalFormatting sqref="B5:B22">
    <cfRule type="expression" dxfId="22" priority="14" stopIfTrue="1">
      <formula>IF(B5="",TRUE)</formula>
    </cfRule>
    <cfRule type="expression" dxfId="21" priority="15" stopIfTrue="1">
      <formula>IF(AND(COUNTIF(MetalSmelter,B5&amp;C5)=0,LEN(C5)&gt;0),TRUE,FALSE)</formula>
    </cfRule>
  </conditionalFormatting>
  <conditionalFormatting sqref="D5:D22">
    <cfRule type="expression" dxfId="20" priority="16" stopIfTrue="1">
      <formula>IF(AND(LEN($C5)&gt;0,($C5&lt;&gt;"Smelter Not Listed")),1,0)</formula>
    </cfRule>
    <cfRule type="expression" dxfId="19" priority="17" stopIfTrue="1">
      <formula>IF(AND(D5="",$C5=$X$4),TRUE)</formula>
    </cfRule>
    <cfRule type="expression" dxfId="18" priority="18" stopIfTrue="1">
      <formula>IF(FIND("!",D5),TRUE)</formula>
    </cfRule>
  </conditionalFormatting>
  <conditionalFormatting sqref="G5:G22">
    <cfRule type="expression" dxfId="17" priority="19" stopIfTrue="1">
      <formula>IF(FIND("Enter smelter details",G5),TRUE)</formula>
    </cfRule>
  </conditionalFormatting>
  <conditionalFormatting sqref="E5:E22">
    <cfRule type="expression" dxfId="16" priority="20" stopIfTrue="1">
      <formula>IF(AND(E5="",$C5=$X$4),TRUE)</formula>
    </cfRule>
    <cfRule type="expression" dxfId="15" priority="21" stopIfTrue="1">
      <formula>IF(FIND("!",E5),TRUE)</formula>
    </cfRule>
  </conditionalFormatting>
  <conditionalFormatting sqref="F5:F22">
    <cfRule type="expression" dxfId="14" priority="22" stopIfTrue="1">
      <formula>IF(AND(LEN($A5)&gt;0,$A5&lt;&gt;$F5),TRUE,FALSE)</formula>
    </cfRule>
  </conditionalFormatting>
  <conditionalFormatting sqref="C5:C22">
    <cfRule type="expression" dxfId="13" priority="23" stopIfTrue="1">
      <formula>IF(AND(B5&lt;&gt;"",C5=""),TRUE)</formula>
    </cfRule>
  </conditionalFormatting>
  <conditionalFormatting sqref="B23:B34">
    <cfRule type="expression" dxfId="12" priority="9" stopIfTrue="1">
      <formula>IF(B23="",TRUE)</formula>
    </cfRule>
    <cfRule type="expression" dxfId="11" priority="12" stopIfTrue="1">
      <formula>IF(AND(COUNTIF(MetalSmelter,B23&amp;C23)=0,LEN(C23)&gt;0), TRUE, FALSE)</formula>
    </cfRule>
  </conditionalFormatting>
  <conditionalFormatting sqref="G23:G34">
    <cfRule type="expression" dxfId="10" priority="13" stopIfTrue="1">
      <formula>IF(FIND("Enter smelter details",G23),TRUE)</formula>
    </cfRule>
  </conditionalFormatting>
  <conditionalFormatting sqref="E23:E34">
    <cfRule type="expression" dxfId="9" priority="10" stopIfTrue="1">
      <formula>IF(AND(E23="",$C23=$X$4),TRUE)</formula>
    </cfRule>
    <cfRule type="expression" dxfId="8" priority="11" stopIfTrue="1">
      <formula>IF(FIND("!",E23),TRUE)</formula>
    </cfRule>
  </conditionalFormatting>
  <conditionalFormatting sqref="F23:F34">
    <cfRule type="expression" dxfId="7" priority="8" stopIfTrue="1">
      <formula>IF(AND(LEN($A23)&gt;0,$A23&lt;&gt;$F23),TRUE,FALSE)</formula>
    </cfRule>
  </conditionalFormatting>
  <conditionalFormatting sqref="C23:C34">
    <cfRule type="expression" dxfId="6" priority="7" stopIfTrue="1">
      <formula>IF(AND(B23&lt;&gt;"",C23=""),TRUE)</formula>
    </cfRule>
  </conditionalFormatting>
  <conditionalFormatting sqref="D34">
    <cfRule type="expression" dxfId="5" priority="6" stopIfTrue="1">
      <formula>IF(AND(C34&lt;&gt;"",D34=""),TRUE)</formula>
    </cfRule>
  </conditionalFormatting>
  <conditionalFormatting sqref="D23 D26:D30">
    <cfRule type="expression" dxfId="4" priority="4" stopIfTrue="1">
      <formula>IF(AND(D23="",$C23=$U$4),TRUE)</formula>
    </cfRule>
    <cfRule type="expression" dxfId="3" priority="5" stopIfTrue="1">
      <formula>IF(FIND("!",D23),TRUE)</formula>
    </cfRule>
  </conditionalFormatting>
  <conditionalFormatting sqref="D31:D32">
    <cfRule type="expression" dxfId="2" priority="3" stopIfTrue="1">
      <formula>IF(AND(C31&lt;&gt;"",D31=""),TRUE)</formula>
    </cfRule>
  </conditionalFormatting>
  <conditionalFormatting sqref="D24:D25">
    <cfRule type="expression" dxfId="1" priority="2" stopIfTrue="1">
      <formula>IF(AND(C24&lt;&gt;"",D24=""),TRUE)</formula>
    </cfRule>
  </conditionalFormatting>
  <conditionalFormatting sqref="D33">
    <cfRule type="expression" dxfId="0" priority="1" stopIfTrue="1">
      <formula>IF(AND(C33&lt;&gt;"",D33=""),TRUE)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22" activePane="bottomRight" state="frozen"/>
      <selection pane="topRight" activeCell="B1" sqref="B1"/>
      <selection pane="bottomLeft" activeCell="A4" sqref="A4"/>
      <selection pane="bottomRight" activeCell="A63" sqref="A63"/>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8devices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 xml:space="preserve">Jonas Sabaliauskas </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info@8devices.com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+37061444116</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Juozas Sabaliauskas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juozas@8devices.com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+37060965549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43411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No</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46" priority="337" stopIfTrue="1">
      <formula>IF(F62=0,TRUE)</formula>
    </cfRule>
  </conditionalFormatting>
  <conditionalFormatting sqref="A5:A13">
    <cfRule type="expression" dxfId="45" priority="45" stopIfTrue="1">
      <formula>$F5=0</formula>
    </cfRule>
    <cfRule type="expression" dxfId="44" priority="46" stopIfTrue="1">
      <formula>AND($F5=1,$G5=0)</formula>
    </cfRule>
    <cfRule type="expression" dxfId="43" priority="47" stopIfTrue="1">
      <formula>AND($F5&lt;&gt;0,$G5&lt;&gt;0)</formula>
    </cfRule>
  </conditionalFormatting>
  <conditionalFormatting sqref="B61">
    <cfRule type="expression" dxfId="42" priority="43" stopIfTrue="1">
      <formula>$F61=0</formula>
    </cfRule>
  </conditionalFormatting>
  <conditionalFormatting sqref="D52">
    <cfRule type="expression" dxfId="41" priority="354" stopIfTrue="1">
      <formula>$H$52=0</formula>
    </cfRule>
  </conditionalFormatting>
  <conditionalFormatting sqref="B63">
    <cfRule type="expression" dxfId="40" priority="35" stopIfTrue="1">
      <formula>IF(F63=0,TRUE)</formula>
    </cfRule>
  </conditionalFormatting>
  <conditionalFormatting sqref="B64">
    <cfRule type="expression" dxfId="39" priority="31" stopIfTrue="1">
      <formula>IF(F64=0,TRUE)</formula>
    </cfRule>
  </conditionalFormatting>
  <conditionalFormatting sqref="B65:B66">
    <cfRule type="expression" dxfId="38" priority="27" stopIfTrue="1">
      <formula>IF(F65=0,TRUE)</formula>
    </cfRule>
  </conditionalFormatting>
  <conditionalFormatting sqref="C66">
    <cfRule type="expression" dxfId="37" priority="9" stopIfTrue="1">
      <formula>C66="Not Required"</formula>
    </cfRule>
    <cfRule type="expression" dxfId="36" priority="17" stopIfTrue="1">
      <formula>OR(C66="Complete",C66="填写", C66="記入",C66="완료",C66="Complétez",C66="Concluído",C66="Vollständig",C66="Completare",C66="Doldurun")</formula>
    </cfRule>
  </conditionalFormatting>
  <conditionalFormatting sqref="A66">
    <cfRule type="expression" dxfId="35" priority="10" stopIfTrue="1">
      <formula>C66="Not Required"</formula>
    </cfRule>
    <cfRule type="expression" dxfId="34"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3" priority="343" stopIfTrue="1">
      <formula>$F4=0</formula>
    </cfRule>
    <cfRule type="expression" dxfId="32" priority="344" stopIfTrue="1">
      <formula>$H4=0</formula>
    </cfRule>
    <cfRule type="expression" dxfId="31" priority="345" stopIfTrue="1">
      <formula>$H4=1</formula>
    </cfRule>
  </conditionalFormatting>
  <conditionalFormatting sqref="C66 A66">
    <cfRule type="expression" dxfId="30" priority="7" stopIfTrue="1">
      <formula>IF(AND($F$66=1,$G$66=1),TRUE,FALSE)</formula>
    </cfRule>
  </conditionalFormatting>
  <conditionalFormatting sqref="A62:A65">
    <cfRule type="expression" dxfId="29" priority="4" stopIfTrue="1">
      <formula>$F62=0</formula>
    </cfRule>
    <cfRule type="expression" dxfId="28" priority="5" stopIfTrue="1">
      <formula>$H62=0</formula>
    </cfRule>
    <cfRule type="expression" dxfId="27" priority="6" stopIfTrue="1">
      <formula>$H62=1</formula>
    </cfRule>
  </conditionalFormatting>
  <conditionalFormatting sqref="C62:C65">
    <cfRule type="expression" dxfId="26" priority="1" stopIfTrue="1">
      <formula>$F62=0</formula>
    </cfRule>
    <cfRule type="expression" dxfId="25" priority="2" stopIfTrue="1">
      <formula>$H62=0</formula>
    </cfRule>
    <cfRule type="expression" dxfId="24"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6" sqref="C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topLeftCell="C1" zoomScale="85" zoomScaleNormal="85" zoomScalePageLayoutView="85" workbookViewId="0">
      <pane ySplit="4" topLeftCell="A545" activePane="bottomLeft" state="frozen"/>
      <selection pane="bottomLeft" activeCell="C582" sqref="C582"/>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23"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Juozas</cp:lastModifiedBy>
  <cp:lastPrinted>2015-04-21T20:47:43Z</cp:lastPrinted>
  <dcterms:created xsi:type="dcterms:W3CDTF">2010-06-21T21:00:23Z</dcterms:created>
  <dcterms:modified xsi:type="dcterms:W3CDTF">2018-11-09T09:19:40Z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